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-1680" yWindow="600" windowWidth="20580" windowHeight="11640"/>
  </bookViews>
  <sheets>
    <sheet name="Report" sheetId="1" r:id="rId1"/>
    <sheet name="Sheet1" sheetId="212" state="veryHidden" r:id="rId2"/>
    <sheet name="Sheet2" sheetId="213" state="veryHidden" r:id="rId3"/>
    <sheet name="Sheet3" sheetId="243" state="veryHidden" r:id="rId4"/>
  </sheets>
  <definedNames>
    <definedName name="_xlnm.Print_Area" localSheetId="0">Report!$G$1:$V$230</definedName>
    <definedName name="_xlnm.Print_Titles" localSheetId="0">Report!$2:$13</definedName>
  </definedNames>
  <calcPr calcId="162913" concurrentCalc="0"/>
</workbook>
</file>

<file path=xl/calcChain.xml><?xml version="1.0" encoding="utf-8"?>
<calcChain xmlns="http://schemas.openxmlformats.org/spreadsheetml/2006/main">
  <c r="D3" i="1" l="1"/>
  <c r="D4" i="1"/>
  <c r="G14" i="1"/>
  <c r="F14" i="1"/>
  <c r="J14" i="1"/>
  <c r="F15" i="1"/>
  <c r="H15" i="1"/>
  <c r="I15" i="1"/>
  <c r="N15" i="1"/>
  <c r="O15" i="1"/>
  <c r="P15" i="1"/>
  <c r="Q15" i="1"/>
  <c r="R15" i="1"/>
  <c r="S15" i="1"/>
  <c r="V15" i="1"/>
  <c r="F16" i="1"/>
  <c r="H16" i="1"/>
  <c r="I16" i="1"/>
  <c r="N16" i="1"/>
  <c r="O16" i="1"/>
  <c r="P16" i="1"/>
  <c r="Q16" i="1"/>
  <c r="R16" i="1"/>
  <c r="S16" i="1"/>
  <c r="V16" i="1"/>
  <c r="F17" i="1"/>
  <c r="H17" i="1"/>
  <c r="I17" i="1"/>
  <c r="N17" i="1"/>
  <c r="O17" i="1"/>
  <c r="P17" i="1"/>
  <c r="Q17" i="1"/>
  <c r="R17" i="1"/>
  <c r="S17" i="1"/>
  <c r="V17" i="1"/>
  <c r="G19" i="1"/>
  <c r="F19" i="1"/>
  <c r="J19" i="1"/>
  <c r="F20" i="1"/>
  <c r="H20" i="1"/>
  <c r="I20" i="1"/>
  <c r="N20" i="1"/>
  <c r="O20" i="1"/>
  <c r="P20" i="1"/>
  <c r="Q20" i="1"/>
  <c r="R20" i="1"/>
  <c r="S20" i="1"/>
  <c r="V20" i="1"/>
  <c r="F21" i="1"/>
  <c r="H21" i="1"/>
  <c r="I21" i="1"/>
  <c r="N21" i="1"/>
  <c r="O21" i="1"/>
  <c r="P21" i="1"/>
  <c r="Q21" i="1"/>
  <c r="R21" i="1"/>
  <c r="S21" i="1"/>
  <c r="V21" i="1"/>
  <c r="F22" i="1"/>
  <c r="H22" i="1"/>
  <c r="I22" i="1"/>
  <c r="N22" i="1"/>
  <c r="O22" i="1"/>
  <c r="P22" i="1"/>
  <c r="Q22" i="1"/>
  <c r="R22" i="1"/>
  <c r="S22" i="1"/>
  <c r="V22" i="1"/>
  <c r="F23" i="1"/>
  <c r="H23" i="1"/>
  <c r="I23" i="1"/>
  <c r="N23" i="1"/>
  <c r="O23" i="1"/>
  <c r="P23" i="1"/>
  <c r="Q23" i="1"/>
  <c r="R23" i="1"/>
  <c r="S23" i="1"/>
  <c r="V23" i="1"/>
  <c r="F24" i="1"/>
  <c r="H24" i="1"/>
  <c r="I24" i="1"/>
  <c r="N24" i="1"/>
  <c r="O24" i="1"/>
  <c r="P24" i="1"/>
  <c r="Q24" i="1"/>
  <c r="R24" i="1"/>
  <c r="S24" i="1"/>
  <c r="V24" i="1"/>
  <c r="F25" i="1"/>
  <c r="H25" i="1"/>
  <c r="I25" i="1"/>
  <c r="N25" i="1"/>
  <c r="O25" i="1"/>
  <c r="P25" i="1"/>
  <c r="Q25" i="1"/>
  <c r="R25" i="1"/>
  <c r="S25" i="1"/>
  <c r="V25" i="1"/>
  <c r="F26" i="1"/>
  <c r="H26" i="1"/>
  <c r="I26" i="1"/>
  <c r="N26" i="1"/>
  <c r="O26" i="1"/>
  <c r="P26" i="1"/>
  <c r="Q26" i="1"/>
  <c r="R26" i="1"/>
  <c r="S26" i="1"/>
  <c r="V26" i="1"/>
  <c r="F27" i="1"/>
  <c r="H27" i="1"/>
  <c r="I27" i="1"/>
  <c r="N27" i="1"/>
  <c r="O27" i="1"/>
  <c r="P27" i="1"/>
  <c r="Q27" i="1"/>
  <c r="R27" i="1"/>
  <c r="S27" i="1"/>
  <c r="V27" i="1"/>
  <c r="F28" i="1"/>
  <c r="H28" i="1"/>
  <c r="I28" i="1"/>
  <c r="N28" i="1"/>
  <c r="O28" i="1"/>
  <c r="P28" i="1"/>
  <c r="Q28" i="1"/>
  <c r="R28" i="1"/>
  <c r="S28" i="1"/>
  <c r="V28" i="1"/>
  <c r="F29" i="1"/>
  <c r="H29" i="1"/>
  <c r="I29" i="1"/>
  <c r="N29" i="1"/>
  <c r="O29" i="1"/>
  <c r="P29" i="1"/>
  <c r="Q29" i="1"/>
  <c r="R29" i="1"/>
  <c r="S29" i="1"/>
  <c r="V29" i="1"/>
  <c r="F30" i="1"/>
  <c r="H30" i="1"/>
  <c r="I30" i="1"/>
  <c r="N30" i="1"/>
  <c r="O30" i="1"/>
  <c r="P30" i="1"/>
  <c r="Q30" i="1"/>
  <c r="R30" i="1"/>
  <c r="S30" i="1"/>
  <c r="V30" i="1"/>
  <c r="F31" i="1"/>
  <c r="H31" i="1"/>
  <c r="I31" i="1"/>
  <c r="N31" i="1"/>
  <c r="O31" i="1"/>
  <c r="P31" i="1"/>
  <c r="Q31" i="1"/>
  <c r="R31" i="1"/>
  <c r="S31" i="1"/>
  <c r="V31" i="1"/>
  <c r="F32" i="1"/>
  <c r="H32" i="1"/>
  <c r="I32" i="1"/>
  <c r="N32" i="1"/>
  <c r="O32" i="1"/>
  <c r="P32" i="1"/>
  <c r="Q32" i="1"/>
  <c r="R32" i="1"/>
  <c r="S32" i="1"/>
  <c r="V32" i="1"/>
  <c r="F33" i="1"/>
  <c r="H33" i="1"/>
  <c r="I33" i="1"/>
  <c r="N33" i="1"/>
  <c r="O33" i="1"/>
  <c r="P33" i="1"/>
  <c r="Q33" i="1"/>
  <c r="R33" i="1"/>
  <c r="S33" i="1"/>
  <c r="V33" i="1"/>
  <c r="F34" i="1"/>
  <c r="H34" i="1"/>
  <c r="I34" i="1"/>
  <c r="N34" i="1"/>
  <c r="O34" i="1"/>
  <c r="P34" i="1"/>
  <c r="Q34" i="1"/>
  <c r="R34" i="1"/>
  <c r="S34" i="1"/>
  <c r="V34" i="1"/>
  <c r="F35" i="1"/>
  <c r="H35" i="1"/>
  <c r="I35" i="1"/>
  <c r="N35" i="1"/>
  <c r="O35" i="1"/>
  <c r="P35" i="1"/>
  <c r="Q35" i="1"/>
  <c r="R35" i="1"/>
  <c r="S35" i="1"/>
  <c r="V35" i="1"/>
  <c r="F36" i="1"/>
  <c r="H36" i="1"/>
  <c r="I36" i="1"/>
  <c r="N36" i="1"/>
  <c r="O36" i="1"/>
  <c r="P36" i="1"/>
  <c r="Q36" i="1"/>
  <c r="R36" i="1"/>
  <c r="S36" i="1"/>
  <c r="V36" i="1"/>
  <c r="G38" i="1"/>
  <c r="F38" i="1"/>
  <c r="J38" i="1"/>
  <c r="F39" i="1"/>
  <c r="H39" i="1"/>
  <c r="I39" i="1"/>
  <c r="N39" i="1"/>
  <c r="O39" i="1"/>
  <c r="P39" i="1"/>
  <c r="Q39" i="1"/>
  <c r="R39" i="1"/>
  <c r="S39" i="1"/>
  <c r="V39" i="1"/>
  <c r="F40" i="1"/>
  <c r="H40" i="1"/>
  <c r="I40" i="1"/>
  <c r="N40" i="1"/>
  <c r="O40" i="1"/>
  <c r="P40" i="1"/>
  <c r="Q40" i="1"/>
  <c r="R40" i="1"/>
  <c r="S40" i="1"/>
  <c r="V40" i="1"/>
  <c r="F41" i="1"/>
  <c r="H41" i="1"/>
  <c r="I41" i="1"/>
  <c r="N41" i="1"/>
  <c r="O41" i="1"/>
  <c r="P41" i="1"/>
  <c r="Q41" i="1"/>
  <c r="R41" i="1"/>
  <c r="S41" i="1"/>
  <c r="V41" i="1"/>
  <c r="F42" i="1"/>
  <c r="H42" i="1"/>
  <c r="I42" i="1"/>
  <c r="N42" i="1"/>
  <c r="O42" i="1"/>
  <c r="P42" i="1"/>
  <c r="Q42" i="1"/>
  <c r="R42" i="1"/>
  <c r="S42" i="1"/>
  <c r="V42" i="1"/>
  <c r="G44" i="1"/>
  <c r="F44" i="1"/>
  <c r="J44" i="1"/>
  <c r="F45" i="1"/>
  <c r="H45" i="1"/>
  <c r="I45" i="1"/>
  <c r="N45" i="1"/>
  <c r="O45" i="1"/>
  <c r="P45" i="1"/>
  <c r="Q45" i="1"/>
  <c r="R45" i="1"/>
  <c r="S45" i="1"/>
  <c r="V45" i="1"/>
  <c r="F46" i="1"/>
  <c r="H46" i="1"/>
  <c r="I46" i="1"/>
  <c r="N46" i="1"/>
  <c r="O46" i="1"/>
  <c r="P46" i="1"/>
  <c r="Q46" i="1"/>
  <c r="R46" i="1"/>
  <c r="S46" i="1"/>
  <c r="V46" i="1"/>
  <c r="F47" i="1"/>
  <c r="H47" i="1"/>
  <c r="I47" i="1"/>
  <c r="N47" i="1"/>
  <c r="O47" i="1"/>
  <c r="P47" i="1"/>
  <c r="Q47" i="1"/>
  <c r="R47" i="1"/>
  <c r="S47" i="1"/>
  <c r="V47" i="1"/>
  <c r="F48" i="1"/>
  <c r="H48" i="1"/>
  <c r="I48" i="1"/>
  <c r="N48" i="1"/>
  <c r="O48" i="1"/>
  <c r="P48" i="1"/>
  <c r="Q48" i="1"/>
  <c r="R48" i="1"/>
  <c r="S48" i="1"/>
  <c r="V48" i="1"/>
  <c r="F49" i="1"/>
  <c r="H49" i="1"/>
  <c r="I49" i="1"/>
  <c r="N49" i="1"/>
  <c r="O49" i="1"/>
  <c r="P49" i="1"/>
  <c r="Q49" i="1"/>
  <c r="R49" i="1"/>
  <c r="S49" i="1"/>
  <c r="V49" i="1"/>
  <c r="F50" i="1"/>
  <c r="H50" i="1"/>
  <c r="I50" i="1"/>
  <c r="N50" i="1"/>
  <c r="O50" i="1"/>
  <c r="P50" i="1"/>
  <c r="Q50" i="1"/>
  <c r="R50" i="1"/>
  <c r="S50" i="1"/>
  <c r="V50" i="1"/>
  <c r="F51" i="1"/>
  <c r="H51" i="1"/>
  <c r="I51" i="1"/>
  <c r="N51" i="1"/>
  <c r="O51" i="1"/>
  <c r="P51" i="1"/>
  <c r="Q51" i="1"/>
  <c r="R51" i="1"/>
  <c r="S51" i="1"/>
  <c r="V51" i="1"/>
  <c r="F52" i="1"/>
  <c r="H52" i="1"/>
  <c r="I52" i="1"/>
  <c r="N52" i="1"/>
  <c r="O52" i="1"/>
  <c r="P52" i="1"/>
  <c r="Q52" i="1"/>
  <c r="R52" i="1"/>
  <c r="S52" i="1"/>
  <c r="V52" i="1"/>
  <c r="F53" i="1"/>
  <c r="H53" i="1"/>
  <c r="I53" i="1"/>
  <c r="N53" i="1"/>
  <c r="O53" i="1"/>
  <c r="P53" i="1"/>
  <c r="Q53" i="1"/>
  <c r="R53" i="1"/>
  <c r="S53" i="1"/>
  <c r="V53" i="1"/>
  <c r="F54" i="1"/>
  <c r="H54" i="1"/>
  <c r="I54" i="1"/>
  <c r="N54" i="1"/>
  <c r="O54" i="1"/>
  <c r="P54" i="1"/>
  <c r="Q54" i="1"/>
  <c r="R54" i="1"/>
  <c r="S54" i="1"/>
  <c r="V54" i="1"/>
  <c r="F55" i="1"/>
  <c r="H55" i="1"/>
  <c r="I55" i="1"/>
  <c r="N55" i="1"/>
  <c r="O55" i="1"/>
  <c r="P55" i="1"/>
  <c r="Q55" i="1"/>
  <c r="R55" i="1"/>
  <c r="S55" i="1"/>
  <c r="V55" i="1"/>
  <c r="F56" i="1"/>
  <c r="H56" i="1"/>
  <c r="I56" i="1"/>
  <c r="N56" i="1"/>
  <c r="O56" i="1"/>
  <c r="P56" i="1"/>
  <c r="Q56" i="1"/>
  <c r="R56" i="1"/>
  <c r="S56" i="1"/>
  <c r="V56" i="1"/>
  <c r="G58" i="1"/>
  <c r="F58" i="1"/>
  <c r="J58" i="1"/>
  <c r="F59" i="1"/>
  <c r="H59" i="1"/>
  <c r="I59" i="1"/>
  <c r="N59" i="1"/>
  <c r="O59" i="1"/>
  <c r="P59" i="1"/>
  <c r="Q59" i="1"/>
  <c r="R59" i="1"/>
  <c r="S59" i="1"/>
  <c r="V59" i="1"/>
  <c r="F60" i="1"/>
  <c r="H60" i="1"/>
  <c r="I60" i="1"/>
  <c r="N60" i="1"/>
  <c r="O60" i="1"/>
  <c r="P60" i="1"/>
  <c r="Q60" i="1"/>
  <c r="R60" i="1"/>
  <c r="S60" i="1"/>
  <c r="V60" i="1"/>
  <c r="F61" i="1"/>
  <c r="H61" i="1"/>
  <c r="I61" i="1"/>
  <c r="N61" i="1"/>
  <c r="O61" i="1"/>
  <c r="P61" i="1"/>
  <c r="Q61" i="1"/>
  <c r="R61" i="1"/>
  <c r="S61" i="1"/>
  <c r="V61" i="1"/>
  <c r="F62" i="1"/>
  <c r="H62" i="1"/>
  <c r="I62" i="1"/>
  <c r="N62" i="1"/>
  <c r="O62" i="1"/>
  <c r="P62" i="1"/>
  <c r="Q62" i="1"/>
  <c r="R62" i="1"/>
  <c r="S62" i="1"/>
  <c r="V62" i="1"/>
  <c r="F63" i="1"/>
  <c r="H63" i="1"/>
  <c r="I63" i="1"/>
  <c r="N63" i="1"/>
  <c r="O63" i="1"/>
  <c r="P63" i="1"/>
  <c r="Q63" i="1"/>
  <c r="R63" i="1"/>
  <c r="S63" i="1"/>
  <c r="V63" i="1"/>
  <c r="F64" i="1"/>
  <c r="H64" i="1"/>
  <c r="I64" i="1"/>
  <c r="N64" i="1"/>
  <c r="O64" i="1"/>
  <c r="P64" i="1"/>
  <c r="Q64" i="1"/>
  <c r="R64" i="1"/>
  <c r="S64" i="1"/>
  <c r="V64" i="1"/>
  <c r="F65" i="1"/>
  <c r="H65" i="1"/>
  <c r="I65" i="1"/>
  <c r="N65" i="1"/>
  <c r="O65" i="1"/>
  <c r="P65" i="1"/>
  <c r="Q65" i="1"/>
  <c r="R65" i="1"/>
  <c r="S65" i="1"/>
  <c r="V65" i="1"/>
  <c r="F66" i="1"/>
  <c r="H66" i="1"/>
  <c r="I66" i="1"/>
  <c r="N66" i="1"/>
  <c r="O66" i="1"/>
  <c r="P66" i="1"/>
  <c r="Q66" i="1"/>
  <c r="R66" i="1"/>
  <c r="S66" i="1"/>
  <c r="V66" i="1"/>
  <c r="F67" i="1"/>
  <c r="H67" i="1"/>
  <c r="I67" i="1"/>
  <c r="N67" i="1"/>
  <c r="O67" i="1"/>
  <c r="P67" i="1"/>
  <c r="Q67" i="1"/>
  <c r="R67" i="1"/>
  <c r="S67" i="1"/>
  <c r="V67" i="1"/>
  <c r="F68" i="1"/>
  <c r="H68" i="1"/>
  <c r="I68" i="1"/>
  <c r="N68" i="1"/>
  <c r="O68" i="1"/>
  <c r="P68" i="1"/>
  <c r="Q68" i="1"/>
  <c r="R68" i="1"/>
  <c r="S68" i="1"/>
  <c r="V68" i="1"/>
  <c r="F69" i="1"/>
  <c r="H69" i="1"/>
  <c r="I69" i="1"/>
  <c r="N69" i="1"/>
  <c r="O69" i="1"/>
  <c r="P69" i="1"/>
  <c r="Q69" i="1"/>
  <c r="R69" i="1"/>
  <c r="S69" i="1"/>
  <c r="V69" i="1"/>
  <c r="F70" i="1"/>
  <c r="H70" i="1"/>
  <c r="I70" i="1"/>
  <c r="N70" i="1"/>
  <c r="O70" i="1"/>
  <c r="P70" i="1"/>
  <c r="Q70" i="1"/>
  <c r="R70" i="1"/>
  <c r="S70" i="1"/>
  <c r="V70" i="1"/>
  <c r="F71" i="1"/>
  <c r="H71" i="1"/>
  <c r="I71" i="1"/>
  <c r="N71" i="1"/>
  <c r="O71" i="1"/>
  <c r="P71" i="1"/>
  <c r="Q71" i="1"/>
  <c r="R71" i="1"/>
  <c r="S71" i="1"/>
  <c r="V71" i="1"/>
  <c r="F72" i="1"/>
  <c r="H72" i="1"/>
  <c r="I72" i="1"/>
  <c r="N72" i="1"/>
  <c r="O72" i="1"/>
  <c r="P72" i="1"/>
  <c r="Q72" i="1"/>
  <c r="R72" i="1"/>
  <c r="S72" i="1"/>
  <c r="V72" i="1"/>
  <c r="F73" i="1"/>
  <c r="H73" i="1"/>
  <c r="I73" i="1"/>
  <c r="N73" i="1"/>
  <c r="O73" i="1"/>
  <c r="P73" i="1"/>
  <c r="Q73" i="1"/>
  <c r="R73" i="1"/>
  <c r="S73" i="1"/>
  <c r="V73" i="1"/>
  <c r="F74" i="1"/>
  <c r="H74" i="1"/>
  <c r="I74" i="1"/>
  <c r="N74" i="1"/>
  <c r="O74" i="1"/>
  <c r="P74" i="1"/>
  <c r="Q74" i="1"/>
  <c r="R74" i="1"/>
  <c r="S74" i="1"/>
  <c r="V74" i="1"/>
  <c r="F75" i="1"/>
  <c r="H75" i="1"/>
  <c r="I75" i="1"/>
  <c r="N75" i="1"/>
  <c r="O75" i="1"/>
  <c r="P75" i="1"/>
  <c r="Q75" i="1"/>
  <c r="R75" i="1"/>
  <c r="S75" i="1"/>
  <c r="V75" i="1"/>
  <c r="F76" i="1"/>
  <c r="H76" i="1"/>
  <c r="I76" i="1"/>
  <c r="N76" i="1"/>
  <c r="O76" i="1"/>
  <c r="P76" i="1"/>
  <c r="Q76" i="1"/>
  <c r="R76" i="1"/>
  <c r="S76" i="1"/>
  <c r="V76" i="1"/>
  <c r="G78" i="1"/>
  <c r="F78" i="1"/>
  <c r="J78" i="1"/>
  <c r="F79" i="1"/>
  <c r="H79" i="1"/>
  <c r="I79" i="1"/>
  <c r="N79" i="1"/>
  <c r="O79" i="1"/>
  <c r="P79" i="1"/>
  <c r="Q79" i="1"/>
  <c r="R79" i="1"/>
  <c r="S79" i="1"/>
  <c r="V79" i="1"/>
  <c r="F80" i="1"/>
  <c r="H80" i="1"/>
  <c r="I80" i="1"/>
  <c r="N80" i="1"/>
  <c r="O80" i="1"/>
  <c r="P80" i="1"/>
  <c r="Q80" i="1"/>
  <c r="R80" i="1"/>
  <c r="S80" i="1"/>
  <c r="V80" i="1"/>
  <c r="F81" i="1"/>
  <c r="H81" i="1"/>
  <c r="I81" i="1"/>
  <c r="N81" i="1"/>
  <c r="O81" i="1"/>
  <c r="P81" i="1"/>
  <c r="Q81" i="1"/>
  <c r="R81" i="1"/>
  <c r="S81" i="1"/>
  <c r="V81" i="1"/>
  <c r="F82" i="1"/>
  <c r="H82" i="1"/>
  <c r="I82" i="1"/>
  <c r="N82" i="1"/>
  <c r="O82" i="1"/>
  <c r="P82" i="1"/>
  <c r="Q82" i="1"/>
  <c r="R82" i="1"/>
  <c r="S82" i="1"/>
  <c r="V82" i="1"/>
  <c r="F83" i="1"/>
  <c r="H83" i="1"/>
  <c r="I83" i="1"/>
  <c r="N83" i="1"/>
  <c r="O83" i="1"/>
  <c r="P83" i="1"/>
  <c r="Q83" i="1"/>
  <c r="R83" i="1"/>
  <c r="S83" i="1"/>
  <c r="V83" i="1"/>
  <c r="F84" i="1"/>
  <c r="H84" i="1"/>
  <c r="I84" i="1"/>
  <c r="N84" i="1"/>
  <c r="O84" i="1"/>
  <c r="P84" i="1"/>
  <c r="Q84" i="1"/>
  <c r="R84" i="1"/>
  <c r="S84" i="1"/>
  <c r="V84" i="1"/>
  <c r="F85" i="1"/>
  <c r="H85" i="1"/>
  <c r="I85" i="1"/>
  <c r="N85" i="1"/>
  <c r="O85" i="1"/>
  <c r="P85" i="1"/>
  <c r="Q85" i="1"/>
  <c r="R85" i="1"/>
  <c r="S85" i="1"/>
  <c r="V85" i="1"/>
  <c r="F86" i="1"/>
  <c r="H86" i="1"/>
  <c r="I86" i="1"/>
  <c r="N86" i="1"/>
  <c r="O86" i="1"/>
  <c r="P86" i="1"/>
  <c r="Q86" i="1"/>
  <c r="R86" i="1"/>
  <c r="S86" i="1"/>
  <c r="V86" i="1"/>
  <c r="F87" i="1"/>
  <c r="H87" i="1"/>
  <c r="I87" i="1"/>
  <c r="N87" i="1"/>
  <c r="O87" i="1"/>
  <c r="P87" i="1"/>
  <c r="Q87" i="1"/>
  <c r="R87" i="1"/>
  <c r="S87" i="1"/>
  <c r="V87" i="1"/>
  <c r="F88" i="1"/>
  <c r="H88" i="1"/>
  <c r="I88" i="1"/>
  <c r="N88" i="1"/>
  <c r="O88" i="1"/>
  <c r="P88" i="1"/>
  <c r="Q88" i="1"/>
  <c r="R88" i="1"/>
  <c r="S88" i="1"/>
  <c r="V88" i="1"/>
  <c r="G90" i="1"/>
  <c r="F90" i="1"/>
  <c r="J90" i="1"/>
  <c r="F91" i="1"/>
  <c r="H91" i="1"/>
  <c r="I91" i="1"/>
  <c r="N91" i="1"/>
  <c r="O91" i="1"/>
  <c r="P91" i="1"/>
  <c r="Q91" i="1"/>
  <c r="R91" i="1"/>
  <c r="S91" i="1"/>
  <c r="V91" i="1"/>
  <c r="G93" i="1"/>
  <c r="F93" i="1"/>
  <c r="J93" i="1"/>
  <c r="F94" i="1"/>
  <c r="H94" i="1"/>
  <c r="I94" i="1"/>
  <c r="N94" i="1"/>
  <c r="O94" i="1"/>
  <c r="P94" i="1"/>
  <c r="Q94" i="1"/>
  <c r="R94" i="1"/>
  <c r="S94" i="1"/>
  <c r="V94" i="1"/>
  <c r="F95" i="1"/>
  <c r="H95" i="1"/>
  <c r="I95" i="1"/>
  <c r="N95" i="1"/>
  <c r="O95" i="1"/>
  <c r="P95" i="1"/>
  <c r="Q95" i="1"/>
  <c r="R95" i="1"/>
  <c r="S95" i="1"/>
  <c r="V95" i="1"/>
  <c r="G97" i="1"/>
  <c r="F97" i="1"/>
  <c r="J97" i="1"/>
  <c r="F98" i="1"/>
  <c r="H98" i="1"/>
  <c r="I98" i="1"/>
  <c r="N98" i="1"/>
  <c r="O98" i="1"/>
  <c r="P98" i="1"/>
  <c r="Q98" i="1"/>
  <c r="R98" i="1"/>
  <c r="S98" i="1"/>
  <c r="V98" i="1"/>
  <c r="F99" i="1"/>
  <c r="H99" i="1"/>
  <c r="I99" i="1"/>
  <c r="N99" i="1"/>
  <c r="O99" i="1"/>
  <c r="P99" i="1"/>
  <c r="Q99" i="1"/>
  <c r="R99" i="1"/>
  <c r="S99" i="1"/>
  <c r="V99" i="1"/>
  <c r="F100" i="1"/>
  <c r="H100" i="1"/>
  <c r="I100" i="1"/>
  <c r="N100" i="1"/>
  <c r="O100" i="1"/>
  <c r="P100" i="1"/>
  <c r="Q100" i="1"/>
  <c r="R100" i="1"/>
  <c r="S100" i="1"/>
  <c r="V100" i="1"/>
  <c r="F101" i="1"/>
  <c r="H101" i="1"/>
  <c r="I101" i="1"/>
  <c r="N101" i="1"/>
  <c r="O101" i="1"/>
  <c r="P101" i="1"/>
  <c r="Q101" i="1"/>
  <c r="R101" i="1"/>
  <c r="S101" i="1"/>
  <c r="V101" i="1"/>
  <c r="F102" i="1"/>
  <c r="H102" i="1"/>
  <c r="I102" i="1"/>
  <c r="N102" i="1"/>
  <c r="O102" i="1"/>
  <c r="P102" i="1"/>
  <c r="Q102" i="1"/>
  <c r="R102" i="1"/>
  <c r="S102" i="1"/>
  <c r="V102" i="1"/>
  <c r="F103" i="1"/>
  <c r="H103" i="1"/>
  <c r="I103" i="1"/>
  <c r="N103" i="1"/>
  <c r="O103" i="1"/>
  <c r="P103" i="1"/>
  <c r="Q103" i="1"/>
  <c r="R103" i="1"/>
  <c r="S103" i="1"/>
  <c r="V103" i="1"/>
  <c r="G105" i="1"/>
  <c r="F105" i="1"/>
  <c r="J105" i="1"/>
  <c r="F106" i="1"/>
  <c r="H106" i="1"/>
  <c r="I106" i="1"/>
  <c r="N106" i="1"/>
  <c r="O106" i="1"/>
  <c r="P106" i="1"/>
  <c r="Q106" i="1"/>
  <c r="R106" i="1"/>
  <c r="S106" i="1"/>
  <c r="V106" i="1"/>
  <c r="F107" i="1"/>
  <c r="H107" i="1"/>
  <c r="I107" i="1"/>
  <c r="N107" i="1"/>
  <c r="O107" i="1"/>
  <c r="P107" i="1"/>
  <c r="Q107" i="1"/>
  <c r="R107" i="1"/>
  <c r="S107" i="1"/>
  <c r="V107" i="1"/>
  <c r="G109" i="1"/>
  <c r="F109" i="1"/>
  <c r="J109" i="1"/>
  <c r="F110" i="1"/>
  <c r="H110" i="1"/>
  <c r="I110" i="1"/>
  <c r="N110" i="1"/>
  <c r="O110" i="1"/>
  <c r="P110" i="1"/>
  <c r="Q110" i="1"/>
  <c r="R110" i="1"/>
  <c r="S110" i="1"/>
  <c r="V110" i="1"/>
  <c r="F111" i="1"/>
  <c r="H111" i="1"/>
  <c r="I111" i="1"/>
  <c r="N111" i="1"/>
  <c r="O111" i="1"/>
  <c r="P111" i="1"/>
  <c r="Q111" i="1"/>
  <c r="R111" i="1"/>
  <c r="S111" i="1"/>
  <c r="V111" i="1"/>
  <c r="F112" i="1"/>
  <c r="H112" i="1"/>
  <c r="I112" i="1"/>
  <c r="N112" i="1"/>
  <c r="O112" i="1"/>
  <c r="P112" i="1"/>
  <c r="Q112" i="1"/>
  <c r="R112" i="1"/>
  <c r="S112" i="1"/>
  <c r="V112" i="1"/>
  <c r="F113" i="1"/>
  <c r="H113" i="1"/>
  <c r="I113" i="1"/>
  <c r="N113" i="1"/>
  <c r="O113" i="1"/>
  <c r="P113" i="1"/>
  <c r="Q113" i="1"/>
  <c r="R113" i="1"/>
  <c r="S113" i="1"/>
  <c r="V113" i="1"/>
  <c r="F114" i="1"/>
  <c r="H114" i="1"/>
  <c r="I114" i="1"/>
  <c r="N114" i="1"/>
  <c r="O114" i="1"/>
  <c r="P114" i="1"/>
  <c r="Q114" i="1"/>
  <c r="R114" i="1"/>
  <c r="S114" i="1"/>
  <c r="V114" i="1"/>
  <c r="F115" i="1"/>
  <c r="H115" i="1"/>
  <c r="I115" i="1"/>
  <c r="N115" i="1"/>
  <c r="O115" i="1"/>
  <c r="P115" i="1"/>
  <c r="Q115" i="1"/>
  <c r="R115" i="1"/>
  <c r="S115" i="1"/>
  <c r="V115" i="1"/>
  <c r="F116" i="1"/>
  <c r="H116" i="1"/>
  <c r="I116" i="1"/>
  <c r="N116" i="1"/>
  <c r="O116" i="1"/>
  <c r="P116" i="1"/>
  <c r="Q116" i="1"/>
  <c r="R116" i="1"/>
  <c r="S116" i="1"/>
  <c r="V116" i="1"/>
  <c r="F117" i="1"/>
  <c r="H117" i="1"/>
  <c r="I117" i="1"/>
  <c r="N117" i="1"/>
  <c r="O117" i="1"/>
  <c r="P117" i="1"/>
  <c r="Q117" i="1"/>
  <c r="R117" i="1"/>
  <c r="S117" i="1"/>
  <c r="V117" i="1"/>
  <c r="F118" i="1"/>
  <c r="H118" i="1"/>
  <c r="I118" i="1"/>
  <c r="N118" i="1"/>
  <c r="O118" i="1"/>
  <c r="P118" i="1"/>
  <c r="Q118" i="1"/>
  <c r="R118" i="1"/>
  <c r="S118" i="1"/>
  <c r="V118" i="1"/>
  <c r="F119" i="1"/>
  <c r="H119" i="1"/>
  <c r="I119" i="1"/>
  <c r="N119" i="1"/>
  <c r="O119" i="1"/>
  <c r="P119" i="1"/>
  <c r="Q119" i="1"/>
  <c r="R119" i="1"/>
  <c r="S119" i="1"/>
  <c r="V119" i="1"/>
  <c r="F120" i="1"/>
  <c r="H120" i="1"/>
  <c r="I120" i="1"/>
  <c r="N120" i="1"/>
  <c r="O120" i="1"/>
  <c r="P120" i="1"/>
  <c r="Q120" i="1"/>
  <c r="R120" i="1"/>
  <c r="S120" i="1"/>
  <c r="V120" i="1"/>
  <c r="F121" i="1"/>
  <c r="H121" i="1"/>
  <c r="I121" i="1"/>
  <c r="N121" i="1"/>
  <c r="O121" i="1"/>
  <c r="P121" i="1"/>
  <c r="Q121" i="1"/>
  <c r="R121" i="1"/>
  <c r="S121" i="1"/>
  <c r="V121" i="1"/>
  <c r="G123" i="1"/>
  <c r="F123" i="1"/>
  <c r="J123" i="1"/>
  <c r="F124" i="1"/>
  <c r="H124" i="1"/>
  <c r="I124" i="1"/>
  <c r="N124" i="1"/>
  <c r="O124" i="1"/>
  <c r="P124" i="1"/>
  <c r="Q124" i="1"/>
  <c r="R124" i="1"/>
  <c r="S124" i="1"/>
  <c r="V124" i="1"/>
  <c r="F125" i="1"/>
  <c r="H125" i="1"/>
  <c r="I125" i="1"/>
  <c r="N125" i="1"/>
  <c r="O125" i="1"/>
  <c r="P125" i="1"/>
  <c r="Q125" i="1"/>
  <c r="R125" i="1"/>
  <c r="S125" i="1"/>
  <c r="V125" i="1"/>
  <c r="F126" i="1"/>
  <c r="H126" i="1"/>
  <c r="I126" i="1"/>
  <c r="N126" i="1"/>
  <c r="O126" i="1"/>
  <c r="P126" i="1"/>
  <c r="Q126" i="1"/>
  <c r="R126" i="1"/>
  <c r="S126" i="1"/>
  <c r="V126" i="1"/>
  <c r="F127" i="1"/>
  <c r="H127" i="1"/>
  <c r="I127" i="1"/>
  <c r="N127" i="1"/>
  <c r="O127" i="1"/>
  <c r="P127" i="1"/>
  <c r="Q127" i="1"/>
  <c r="R127" i="1"/>
  <c r="S127" i="1"/>
  <c r="V127" i="1"/>
  <c r="F128" i="1"/>
  <c r="H128" i="1"/>
  <c r="I128" i="1"/>
  <c r="N128" i="1"/>
  <c r="O128" i="1"/>
  <c r="P128" i="1"/>
  <c r="Q128" i="1"/>
  <c r="R128" i="1"/>
  <c r="S128" i="1"/>
  <c r="V128" i="1"/>
  <c r="F129" i="1"/>
  <c r="H129" i="1"/>
  <c r="I129" i="1"/>
  <c r="N129" i="1"/>
  <c r="O129" i="1"/>
  <c r="P129" i="1"/>
  <c r="Q129" i="1"/>
  <c r="R129" i="1"/>
  <c r="S129" i="1"/>
  <c r="V129" i="1"/>
  <c r="G131" i="1"/>
  <c r="F131" i="1"/>
  <c r="J131" i="1"/>
  <c r="F132" i="1"/>
  <c r="H132" i="1"/>
  <c r="I132" i="1"/>
  <c r="N132" i="1"/>
  <c r="O132" i="1"/>
  <c r="P132" i="1"/>
  <c r="Q132" i="1"/>
  <c r="R132" i="1"/>
  <c r="S132" i="1"/>
  <c r="V132" i="1"/>
  <c r="F133" i="1"/>
  <c r="H133" i="1"/>
  <c r="I133" i="1"/>
  <c r="N133" i="1"/>
  <c r="O133" i="1"/>
  <c r="P133" i="1"/>
  <c r="Q133" i="1"/>
  <c r="R133" i="1"/>
  <c r="S133" i="1"/>
  <c r="V133" i="1"/>
  <c r="F134" i="1"/>
  <c r="H134" i="1"/>
  <c r="I134" i="1"/>
  <c r="N134" i="1"/>
  <c r="O134" i="1"/>
  <c r="P134" i="1"/>
  <c r="Q134" i="1"/>
  <c r="R134" i="1"/>
  <c r="S134" i="1"/>
  <c r="V134" i="1"/>
  <c r="F135" i="1"/>
  <c r="H135" i="1"/>
  <c r="I135" i="1"/>
  <c r="N135" i="1"/>
  <c r="O135" i="1"/>
  <c r="P135" i="1"/>
  <c r="Q135" i="1"/>
  <c r="R135" i="1"/>
  <c r="S135" i="1"/>
  <c r="V135" i="1"/>
  <c r="G137" i="1"/>
  <c r="F137" i="1"/>
  <c r="J137" i="1"/>
  <c r="F138" i="1"/>
  <c r="H138" i="1"/>
  <c r="I138" i="1"/>
  <c r="N138" i="1"/>
  <c r="O138" i="1"/>
  <c r="P138" i="1"/>
  <c r="Q138" i="1"/>
  <c r="R138" i="1"/>
  <c r="S138" i="1"/>
  <c r="V138" i="1"/>
  <c r="F139" i="1"/>
  <c r="H139" i="1"/>
  <c r="I139" i="1"/>
  <c r="N139" i="1"/>
  <c r="O139" i="1"/>
  <c r="P139" i="1"/>
  <c r="Q139" i="1"/>
  <c r="R139" i="1"/>
  <c r="S139" i="1"/>
  <c r="V139" i="1"/>
  <c r="F140" i="1"/>
  <c r="H140" i="1"/>
  <c r="I140" i="1"/>
  <c r="N140" i="1"/>
  <c r="O140" i="1"/>
  <c r="P140" i="1"/>
  <c r="Q140" i="1"/>
  <c r="R140" i="1"/>
  <c r="S140" i="1"/>
  <c r="V140" i="1"/>
  <c r="F141" i="1"/>
  <c r="H141" i="1"/>
  <c r="I141" i="1"/>
  <c r="N141" i="1"/>
  <c r="O141" i="1"/>
  <c r="P141" i="1"/>
  <c r="Q141" i="1"/>
  <c r="R141" i="1"/>
  <c r="S141" i="1"/>
  <c r="V141" i="1"/>
  <c r="G143" i="1"/>
  <c r="F143" i="1"/>
  <c r="J143" i="1"/>
  <c r="F144" i="1"/>
  <c r="H144" i="1"/>
  <c r="I144" i="1"/>
  <c r="N144" i="1"/>
  <c r="O144" i="1"/>
  <c r="P144" i="1"/>
  <c r="Q144" i="1"/>
  <c r="R144" i="1"/>
  <c r="S144" i="1"/>
  <c r="V144" i="1"/>
  <c r="G146" i="1"/>
  <c r="F146" i="1"/>
  <c r="J146" i="1"/>
  <c r="F147" i="1"/>
  <c r="H147" i="1"/>
  <c r="I147" i="1"/>
  <c r="N147" i="1"/>
  <c r="O147" i="1"/>
  <c r="P147" i="1"/>
  <c r="Q147" i="1"/>
  <c r="R147" i="1"/>
  <c r="S147" i="1"/>
  <c r="V147" i="1"/>
  <c r="F148" i="1"/>
  <c r="H148" i="1"/>
  <c r="I148" i="1"/>
  <c r="N148" i="1"/>
  <c r="O148" i="1"/>
  <c r="P148" i="1"/>
  <c r="Q148" i="1"/>
  <c r="R148" i="1"/>
  <c r="S148" i="1"/>
  <c r="V148" i="1"/>
  <c r="G150" i="1"/>
  <c r="F150" i="1"/>
  <c r="J150" i="1"/>
  <c r="F151" i="1"/>
  <c r="H151" i="1"/>
  <c r="I151" i="1"/>
  <c r="N151" i="1"/>
  <c r="O151" i="1"/>
  <c r="P151" i="1"/>
  <c r="Q151" i="1"/>
  <c r="R151" i="1"/>
  <c r="S151" i="1"/>
  <c r="V151" i="1"/>
  <c r="F152" i="1"/>
  <c r="H152" i="1"/>
  <c r="I152" i="1"/>
  <c r="N152" i="1"/>
  <c r="O152" i="1"/>
  <c r="P152" i="1"/>
  <c r="Q152" i="1"/>
  <c r="R152" i="1"/>
  <c r="S152" i="1"/>
  <c r="V152" i="1"/>
  <c r="F153" i="1"/>
  <c r="H153" i="1"/>
  <c r="I153" i="1"/>
  <c r="N153" i="1"/>
  <c r="O153" i="1"/>
  <c r="P153" i="1"/>
  <c r="Q153" i="1"/>
  <c r="R153" i="1"/>
  <c r="S153" i="1"/>
  <c r="V153" i="1"/>
  <c r="G155" i="1"/>
  <c r="F155" i="1"/>
  <c r="J155" i="1"/>
  <c r="F156" i="1"/>
  <c r="H156" i="1"/>
  <c r="I156" i="1"/>
  <c r="N156" i="1"/>
  <c r="O156" i="1"/>
  <c r="P156" i="1"/>
  <c r="Q156" i="1"/>
  <c r="R156" i="1"/>
  <c r="S156" i="1"/>
  <c r="V156" i="1"/>
  <c r="G158" i="1"/>
  <c r="F158" i="1"/>
  <c r="J158" i="1"/>
  <c r="F159" i="1"/>
  <c r="H159" i="1"/>
  <c r="I159" i="1"/>
  <c r="N159" i="1"/>
  <c r="O159" i="1"/>
  <c r="P159" i="1"/>
  <c r="Q159" i="1"/>
  <c r="R159" i="1"/>
  <c r="S159" i="1"/>
  <c r="V159" i="1"/>
  <c r="F160" i="1"/>
  <c r="H160" i="1"/>
  <c r="I160" i="1"/>
  <c r="N160" i="1"/>
  <c r="O160" i="1"/>
  <c r="P160" i="1"/>
  <c r="Q160" i="1"/>
  <c r="R160" i="1"/>
  <c r="S160" i="1"/>
  <c r="V160" i="1"/>
  <c r="F161" i="1"/>
  <c r="H161" i="1"/>
  <c r="I161" i="1"/>
  <c r="N161" i="1"/>
  <c r="O161" i="1"/>
  <c r="P161" i="1"/>
  <c r="Q161" i="1"/>
  <c r="R161" i="1"/>
  <c r="S161" i="1"/>
  <c r="V161" i="1"/>
  <c r="G163" i="1"/>
  <c r="F163" i="1"/>
  <c r="J163" i="1"/>
  <c r="F164" i="1"/>
  <c r="H164" i="1"/>
  <c r="I164" i="1"/>
  <c r="N164" i="1"/>
  <c r="O164" i="1"/>
  <c r="P164" i="1"/>
  <c r="Q164" i="1"/>
  <c r="R164" i="1"/>
  <c r="S164" i="1"/>
  <c r="V164" i="1"/>
  <c r="F165" i="1"/>
  <c r="H165" i="1"/>
  <c r="I165" i="1"/>
  <c r="N165" i="1"/>
  <c r="O165" i="1"/>
  <c r="P165" i="1"/>
  <c r="Q165" i="1"/>
  <c r="R165" i="1"/>
  <c r="S165" i="1"/>
  <c r="V165" i="1"/>
  <c r="G167" i="1"/>
  <c r="F167" i="1"/>
  <c r="J167" i="1"/>
  <c r="F168" i="1"/>
  <c r="H168" i="1"/>
  <c r="I168" i="1"/>
  <c r="N168" i="1"/>
  <c r="O168" i="1"/>
  <c r="P168" i="1"/>
  <c r="Q168" i="1"/>
  <c r="R168" i="1"/>
  <c r="S168" i="1"/>
  <c r="V168" i="1"/>
  <c r="F169" i="1"/>
  <c r="H169" i="1"/>
  <c r="I169" i="1"/>
  <c r="N169" i="1"/>
  <c r="O169" i="1"/>
  <c r="P169" i="1"/>
  <c r="Q169" i="1"/>
  <c r="R169" i="1"/>
  <c r="S169" i="1"/>
  <c r="V169" i="1"/>
  <c r="F170" i="1"/>
  <c r="H170" i="1"/>
  <c r="I170" i="1"/>
  <c r="N170" i="1"/>
  <c r="O170" i="1"/>
  <c r="P170" i="1"/>
  <c r="Q170" i="1"/>
  <c r="R170" i="1"/>
  <c r="S170" i="1"/>
  <c r="V170" i="1"/>
  <c r="F171" i="1"/>
  <c r="H171" i="1"/>
  <c r="I171" i="1"/>
  <c r="N171" i="1"/>
  <c r="O171" i="1"/>
  <c r="P171" i="1"/>
  <c r="Q171" i="1"/>
  <c r="R171" i="1"/>
  <c r="S171" i="1"/>
  <c r="V171" i="1"/>
  <c r="F172" i="1"/>
  <c r="H172" i="1"/>
  <c r="I172" i="1"/>
  <c r="N172" i="1"/>
  <c r="O172" i="1"/>
  <c r="P172" i="1"/>
  <c r="Q172" i="1"/>
  <c r="R172" i="1"/>
  <c r="S172" i="1"/>
  <c r="V172" i="1"/>
  <c r="F173" i="1"/>
  <c r="H173" i="1"/>
  <c r="I173" i="1"/>
  <c r="N173" i="1"/>
  <c r="O173" i="1"/>
  <c r="P173" i="1"/>
  <c r="Q173" i="1"/>
  <c r="R173" i="1"/>
  <c r="S173" i="1"/>
  <c r="V173" i="1"/>
  <c r="F174" i="1"/>
  <c r="H174" i="1"/>
  <c r="I174" i="1"/>
  <c r="N174" i="1"/>
  <c r="O174" i="1"/>
  <c r="P174" i="1"/>
  <c r="Q174" i="1"/>
  <c r="R174" i="1"/>
  <c r="S174" i="1"/>
  <c r="V174" i="1"/>
  <c r="F175" i="1"/>
  <c r="H175" i="1"/>
  <c r="I175" i="1"/>
  <c r="N175" i="1"/>
  <c r="O175" i="1"/>
  <c r="P175" i="1"/>
  <c r="Q175" i="1"/>
  <c r="R175" i="1"/>
  <c r="S175" i="1"/>
  <c r="V175" i="1"/>
  <c r="F176" i="1"/>
  <c r="H176" i="1"/>
  <c r="I176" i="1"/>
  <c r="N176" i="1"/>
  <c r="O176" i="1"/>
  <c r="P176" i="1"/>
  <c r="Q176" i="1"/>
  <c r="R176" i="1"/>
  <c r="S176" i="1"/>
  <c r="V176" i="1"/>
  <c r="F177" i="1"/>
  <c r="H177" i="1"/>
  <c r="I177" i="1"/>
  <c r="N177" i="1"/>
  <c r="O177" i="1"/>
  <c r="P177" i="1"/>
  <c r="Q177" i="1"/>
  <c r="R177" i="1"/>
  <c r="S177" i="1"/>
  <c r="V177" i="1"/>
  <c r="G179" i="1"/>
  <c r="F179" i="1"/>
  <c r="J179" i="1"/>
  <c r="F180" i="1"/>
  <c r="H180" i="1"/>
  <c r="I180" i="1"/>
  <c r="N180" i="1"/>
  <c r="O180" i="1"/>
  <c r="P180" i="1"/>
  <c r="Q180" i="1"/>
  <c r="R180" i="1"/>
  <c r="S180" i="1"/>
  <c r="V180" i="1"/>
  <c r="F181" i="1"/>
  <c r="H181" i="1"/>
  <c r="I181" i="1"/>
  <c r="N181" i="1"/>
  <c r="O181" i="1"/>
  <c r="P181" i="1"/>
  <c r="Q181" i="1"/>
  <c r="R181" i="1"/>
  <c r="S181" i="1"/>
  <c r="V181" i="1"/>
  <c r="F182" i="1"/>
  <c r="H182" i="1"/>
  <c r="I182" i="1"/>
  <c r="N182" i="1"/>
  <c r="O182" i="1"/>
  <c r="P182" i="1"/>
  <c r="Q182" i="1"/>
  <c r="R182" i="1"/>
  <c r="S182" i="1"/>
  <c r="V182" i="1"/>
  <c r="F183" i="1"/>
  <c r="H183" i="1"/>
  <c r="I183" i="1"/>
  <c r="N183" i="1"/>
  <c r="O183" i="1"/>
  <c r="P183" i="1"/>
  <c r="Q183" i="1"/>
  <c r="R183" i="1"/>
  <c r="S183" i="1"/>
  <c r="V183" i="1"/>
  <c r="F184" i="1"/>
  <c r="H184" i="1"/>
  <c r="I184" i="1"/>
  <c r="N184" i="1"/>
  <c r="O184" i="1"/>
  <c r="P184" i="1"/>
  <c r="Q184" i="1"/>
  <c r="R184" i="1"/>
  <c r="S184" i="1"/>
  <c r="V184" i="1"/>
  <c r="F185" i="1"/>
  <c r="H185" i="1"/>
  <c r="I185" i="1"/>
  <c r="N185" i="1"/>
  <c r="O185" i="1"/>
  <c r="P185" i="1"/>
  <c r="Q185" i="1"/>
  <c r="R185" i="1"/>
  <c r="S185" i="1"/>
  <c r="V185" i="1"/>
  <c r="F186" i="1"/>
  <c r="H186" i="1"/>
  <c r="I186" i="1"/>
  <c r="N186" i="1"/>
  <c r="O186" i="1"/>
  <c r="P186" i="1"/>
  <c r="Q186" i="1"/>
  <c r="R186" i="1"/>
  <c r="S186" i="1"/>
  <c r="V186" i="1"/>
  <c r="F187" i="1"/>
  <c r="H187" i="1"/>
  <c r="I187" i="1"/>
  <c r="N187" i="1"/>
  <c r="O187" i="1"/>
  <c r="P187" i="1"/>
  <c r="Q187" i="1"/>
  <c r="R187" i="1"/>
  <c r="S187" i="1"/>
  <c r="V187" i="1"/>
  <c r="F188" i="1"/>
  <c r="H188" i="1"/>
  <c r="I188" i="1"/>
  <c r="N188" i="1"/>
  <c r="O188" i="1"/>
  <c r="P188" i="1"/>
  <c r="Q188" i="1"/>
  <c r="R188" i="1"/>
  <c r="S188" i="1"/>
  <c r="V188" i="1"/>
  <c r="F189" i="1"/>
  <c r="H189" i="1"/>
  <c r="I189" i="1"/>
  <c r="N189" i="1"/>
  <c r="O189" i="1"/>
  <c r="P189" i="1"/>
  <c r="Q189" i="1"/>
  <c r="R189" i="1"/>
  <c r="S189" i="1"/>
  <c r="V189" i="1"/>
  <c r="F190" i="1"/>
  <c r="H190" i="1"/>
  <c r="I190" i="1"/>
  <c r="N190" i="1"/>
  <c r="O190" i="1"/>
  <c r="P190" i="1"/>
  <c r="Q190" i="1"/>
  <c r="R190" i="1"/>
  <c r="S190" i="1"/>
  <c r="V190" i="1"/>
  <c r="F191" i="1"/>
  <c r="H191" i="1"/>
  <c r="I191" i="1"/>
  <c r="N191" i="1"/>
  <c r="O191" i="1"/>
  <c r="P191" i="1"/>
  <c r="Q191" i="1"/>
  <c r="R191" i="1"/>
  <c r="S191" i="1"/>
  <c r="V191" i="1"/>
  <c r="F192" i="1"/>
  <c r="H192" i="1"/>
  <c r="I192" i="1"/>
  <c r="N192" i="1"/>
  <c r="O192" i="1"/>
  <c r="P192" i="1"/>
  <c r="Q192" i="1"/>
  <c r="R192" i="1"/>
  <c r="S192" i="1"/>
  <c r="V192" i="1"/>
  <c r="F193" i="1"/>
  <c r="H193" i="1"/>
  <c r="I193" i="1"/>
  <c r="N193" i="1"/>
  <c r="O193" i="1"/>
  <c r="P193" i="1"/>
  <c r="Q193" i="1"/>
  <c r="R193" i="1"/>
  <c r="S193" i="1"/>
  <c r="V193" i="1"/>
  <c r="F194" i="1"/>
  <c r="H194" i="1"/>
  <c r="I194" i="1"/>
  <c r="N194" i="1"/>
  <c r="O194" i="1"/>
  <c r="P194" i="1"/>
  <c r="Q194" i="1"/>
  <c r="R194" i="1"/>
  <c r="S194" i="1"/>
  <c r="V194" i="1"/>
  <c r="F195" i="1"/>
  <c r="H195" i="1"/>
  <c r="I195" i="1"/>
  <c r="N195" i="1"/>
  <c r="O195" i="1"/>
  <c r="P195" i="1"/>
  <c r="Q195" i="1"/>
  <c r="R195" i="1"/>
  <c r="S195" i="1"/>
  <c r="V195" i="1"/>
  <c r="F196" i="1"/>
  <c r="H196" i="1"/>
  <c r="I196" i="1"/>
  <c r="N196" i="1"/>
  <c r="O196" i="1"/>
  <c r="P196" i="1"/>
  <c r="Q196" i="1"/>
  <c r="R196" i="1"/>
  <c r="S196" i="1"/>
  <c r="V196" i="1"/>
  <c r="F197" i="1"/>
  <c r="H197" i="1"/>
  <c r="I197" i="1"/>
  <c r="N197" i="1"/>
  <c r="O197" i="1"/>
  <c r="P197" i="1"/>
  <c r="Q197" i="1"/>
  <c r="R197" i="1"/>
  <c r="S197" i="1"/>
  <c r="V197" i="1"/>
  <c r="F198" i="1"/>
  <c r="H198" i="1"/>
  <c r="I198" i="1"/>
  <c r="N198" i="1"/>
  <c r="O198" i="1"/>
  <c r="P198" i="1"/>
  <c r="Q198" i="1"/>
  <c r="R198" i="1"/>
  <c r="S198" i="1"/>
  <c r="V198" i="1"/>
  <c r="F199" i="1"/>
  <c r="H199" i="1"/>
  <c r="I199" i="1"/>
  <c r="N199" i="1"/>
  <c r="O199" i="1"/>
  <c r="P199" i="1"/>
  <c r="Q199" i="1"/>
  <c r="R199" i="1"/>
  <c r="S199" i="1"/>
  <c r="V199" i="1"/>
  <c r="F200" i="1"/>
  <c r="H200" i="1"/>
  <c r="I200" i="1"/>
  <c r="N200" i="1"/>
  <c r="O200" i="1"/>
  <c r="P200" i="1"/>
  <c r="Q200" i="1"/>
  <c r="R200" i="1"/>
  <c r="S200" i="1"/>
  <c r="V200" i="1"/>
  <c r="F201" i="1"/>
  <c r="H201" i="1"/>
  <c r="I201" i="1"/>
  <c r="N201" i="1"/>
  <c r="O201" i="1"/>
  <c r="P201" i="1"/>
  <c r="Q201" i="1"/>
  <c r="R201" i="1"/>
  <c r="S201" i="1"/>
  <c r="V201" i="1"/>
  <c r="F202" i="1"/>
  <c r="H202" i="1"/>
  <c r="I202" i="1"/>
  <c r="N202" i="1"/>
  <c r="O202" i="1"/>
  <c r="P202" i="1"/>
  <c r="Q202" i="1"/>
  <c r="R202" i="1"/>
  <c r="S202" i="1"/>
  <c r="V202" i="1"/>
  <c r="F203" i="1"/>
  <c r="H203" i="1"/>
  <c r="I203" i="1"/>
  <c r="N203" i="1"/>
  <c r="O203" i="1"/>
  <c r="P203" i="1"/>
  <c r="Q203" i="1"/>
  <c r="R203" i="1"/>
  <c r="S203" i="1"/>
  <c r="V203" i="1"/>
  <c r="F204" i="1"/>
  <c r="H204" i="1"/>
  <c r="I204" i="1"/>
  <c r="N204" i="1"/>
  <c r="O204" i="1"/>
  <c r="P204" i="1"/>
  <c r="Q204" i="1"/>
  <c r="R204" i="1"/>
  <c r="S204" i="1"/>
  <c r="V204" i="1"/>
  <c r="F205" i="1"/>
  <c r="H205" i="1"/>
  <c r="I205" i="1"/>
  <c r="N205" i="1"/>
  <c r="O205" i="1"/>
  <c r="P205" i="1"/>
  <c r="Q205" i="1"/>
  <c r="R205" i="1"/>
  <c r="S205" i="1"/>
  <c r="V205" i="1"/>
  <c r="G207" i="1"/>
  <c r="F207" i="1"/>
  <c r="J207" i="1"/>
  <c r="F208" i="1"/>
  <c r="H208" i="1"/>
  <c r="I208" i="1"/>
  <c r="N208" i="1"/>
  <c r="O208" i="1"/>
  <c r="P208" i="1"/>
  <c r="Q208" i="1"/>
  <c r="R208" i="1"/>
  <c r="S208" i="1"/>
  <c r="V208" i="1"/>
  <c r="F209" i="1"/>
  <c r="H209" i="1"/>
  <c r="I209" i="1"/>
  <c r="N209" i="1"/>
  <c r="O209" i="1"/>
  <c r="P209" i="1"/>
  <c r="Q209" i="1"/>
  <c r="R209" i="1"/>
  <c r="S209" i="1"/>
  <c r="V209" i="1"/>
  <c r="F210" i="1"/>
  <c r="H210" i="1"/>
  <c r="I210" i="1"/>
  <c r="N210" i="1"/>
  <c r="O210" i="1"/>
  <c r="P210" i="1"/>
  <c r="Q210" i="1"/>
  <c r="R210" i="1"/>
  <c r="S210" i="1"/>
  <c r="V210" i="1"/>
  <c r="F211" i="1"/>
  <c r="H211" i="1"/>
  <c r="I211" i="1"/>
  <c r="N211" i="1"/>
  <c r="O211" i="1"/>
  <c r="P211" i="1"/>
  <c r="Q211" i="1"/>
  <c r="R211" i="1"/>
  <c r="S211" i="1"/>
  <c r="V211" i="1"/>
  <c r="F212" i="1"/>
  <c r="H212" i="1"/>
  <c r="I212" i="1"/>
  <c r="N212" i="1"/>
  <c r="O212" i="1"/>
  <c r="P212" i="1"/>
  <c r="Q212" i="1"/>
  <c r="R212" i="1"/>
  <c r="S212" i="1"/>
  <c r="V212" i="1"/>
  <c r="F213" i="1"/>
  <c r="H213" i="1"/>
  <c r="I213" i="1"/>
  <c r="N213" i="1"/>
  <c r="O213" i="1"/>
  <c r="P213" i="1"/>
  <c r="Q213" i="1"/>
  <c r="R213" i="1"/>
  <c r="S213" i="1"/>
  <c r="V213" i="1"/>
  <c r="F214" i="1"/>
  <c r="H214" i="1"/>
  <c r="I214" i="1"/>
  <c r="N214" i="1"/>
  <c r="O214" i="1"/>
  <c r="P214" i="1"/>
  <c r="Q214" i="1"/>
  <c r="R214" i="1"/>
  <c r="S214" i="1"/>
  <c r="V214" i="1"/>
  <c r="F215" i="1"/>
  <c r="H215" i="1"/>
  <c r="I215" i="1"/>
  <c r="N215" i="1"/>
  <c r="O215" i="1"/>
  <c r="P215" i="1"/>
  <c r="Q215" i="1"/>
  <c r="R215" i="1"/>
  <c r="S215" i="1"/>
  <c r="V215" i="1"/>
  <c r="F216" i="1"/>
  <c r="H216" i="1"/>
  <c r="I216" i="1"/>
  <c r="N216" i="1"/>
  <c r="O216" i="1"/>
  <c r="P216" i="1"/>
  <c r="Q216" i="1"/>
  <c r="R216" i="1"/>
  <c r="S216" i="1"/>
  <c r="V216" i="1"/>
  <c r="F217" i="1"/>
  <c r="H217" i="1"/>
  <c r="I217" i="1"/>
  <c r="N217" i="1"/>
  <c r="O217" i="1"/>
  <c r="P217" i="1"/>
  <c r="Q217" i="1"/>
  <c r="R217" i="1"/>
  <c r="S217" i="1"/>
  <c r="V217" i="1"/>
  <c r="F218" i="1"/>
  <c r="H218" i="1"/>
  <c r="I218" i="1"/>
  <c r="N218" i="1"/>
  <c r="O218" i="1"/>
  <c r="P218" i="1"/>
  <c r="Q218" i="1"/>
  <c r="R218" i="1"/>
  <c r="S218" i="1"/>
  <c r="V218" i="1"/>
  <c r="F219" i="1"/>
  <c r="H219" i="1"/>
  <c r="I219" i="1"/>
  <c r="N219" i="1"/>
  <c r="O219" i="1"/>
  <c r="P219" i="1"/>
  <c r="Q219" i="1"/>
  <c r="R219" i="1"/>
  <c r="S219" i="1"/>
  <c r="V219" i="1"/>
  <c r="G221" i="1"/>
  <c r="F221" i="1"/>
  <c r="J221" i="1"/>
  <c r="F222" i="1"/>
  <c r="H222" i="1"/>
  <c r="I222" i="1"/>
  <c r="N222" i="1"/>
  <c r="O222" i="1"/>
  <c r="P222" i="1"/>
  <c r="Q222" i="1"/>
  <c r="R222" i="1"/>
  <c r="S222" i="1"/>
  <c r="V222" i="1"/>
  <c r="F223" i="1"/>
  <c r="H223" i="1"/>
  <c r="I223" i="1"/>
  <c r="N223" i="1"/>
  <c r="O223" i="1"/>
  <c r="P223" i="1"/>
  <c r="Q223" i="1"/>
  <c r="R223" i="1"/>
  <c r="S223" i="1"/>
  <c r="V223" i="1"/>
  <c r="G225" i="1"/>
  <c r="F225" i="1"/>
  <c r="J225" i="1"/>
  <c r="F226" i="1"/>
  <c r="H226" i="1"/>
  <c r="I226" i="1"/>
  <c r="N226" i="1"/>
  <c r="O226" i="1"/>
  <c r="P226" i="1"/>
  <c r="Q226" i="1"/>
  <c r="R226" i="1"/>
  <c r="S226" i="1"/>
  <c r="V226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42" i="1"/>
  <c r="B41" i="1"/>
  <c r="B40" i="1"/>
  <c r="B56" i="1"/>
  <c r="B55" i="1"/>
  <c r="B54" i="1"/>
  <c r="B53" i="1"/>
  <c r="B52" i="1"/>
  <c r="B51" i="1"/>
  <c r="B50" i="1"/>
  <c r="B49" i="1"/>
  <c r="B48" i="1"/>
  <c r="B47" i="1"/>
  <c r="B46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88" i="1"/>
  <c r="B87" i="1"/>
  <c r="B86" i="1"/>
  <c r="B85" i="1"/>
  <c r="B84" i="1"/>
  <c r="B83" i="1"/>
  <c r="B82" i="1"/>
  <c r="B81" i="1"/>
  <c r="B80" i="1"/>
  <c r="B95" i="1"/>
  <c r="B103" i="1"/>
  <c r="B102" i="1"/>
  <c r="B101" i="1"/>
  <c r="B100" i="1"/>
  <c r="B99" i="1"/>
  <c r="B107" i="1"/>
  <c r="B121" i="1"/>
  <c r="B120" i="1"/>
  <c r="B119" i="1"/>
  <c r="B118" i="1"/>
  <c r="B117" i="1"/>
  <c r="B116" i="1"/>
  <c r="B115" i="1"/>
  <c r="B114" i="1"/>
  <c r="B113" i="1"/>
  <c r="B112" i="1"/>
  <c r="B111" i="1"/>
  <c r="B129" i="1"/>
  <c r="B128" i="1"/>
  <c r="B127" i="1"/>
  <c r="B126" i="1"/>
  <c r="B125" i="1"/>
  <c r="B135" i="1"/>
  <c r="B134" i="1"/>
  <c r="B133" i="1"/>
  <c r="B141" i="1"/>
  <c r="B140" i="1"/>
  <c r="B139" i="1"/>
  <c r="B148" i="1"/>
  <c r="B153" i="1"/>
  <c r="B152" i="1"/>
  <c r="B161" i="1"/>
  <c r="B160" i="1"/>
  <c r="B165" i="1"/>
  <c r="B177" i="1"/>
  <c r="B176" i="1"/>
  <c r="B175" i="1"/>
  <c r="B174" i="1"/>
  <c r="B173" i="1"/>
  <c r="B172" i="1"/>
  <c r="B171" i="1"/>
  <c r="B170" i="1"/>
  <c r="B169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219" i="1"/>
  <c r="B218" i="1"/>
  <c r="B217" i="1"/>
  <c r="B216" i="1"/>
  <c r="B215" i="1"/>
  <c r="B214" i="1"/>
  <c r="B213" i="1"/>
  <c r="B212" i="1"/>
  <c r="B211" i="1"/>
  <c r="B210" i="1"/>
  <c r="B209" i="1"/>
  <c r="B223" i="1"/>
  <c r="B17" i="1"/>
  <c r="B16" i="1"/>
  <c r="B226" i="1"/>
  <c r="B222" i="1"/>
  <c r="B208" i="1"/>
  <c r="B180" i="1"/>
  <c r="B168" i="1"/>
  <c r="B164" i="1"/>
  <c r="B159" i="1"/>
  <c r="B156" i="1"/>
  <c r="B151" i="1"/>
  <c r="B147" i="1"/>
  <c r="B144" i="1"/>
  <c r="B138" i="1"/>
  <c r="B132" i="1"/>
  <c r="B124" i="1"/>
  <c r="B110" i="1"/>
  <c r="B106" i="1"/>
  <c r="B98" i="1"/>
  <c r="B94" i="1"/>
  <c r="B91" i="1"/>
  <c r="B79" i="1"/>
  <c r="B59" i="1"/>
  <c r="B45" i="1"/>
  <c r="B39" i="1"/>
  <c r="B20" i="1"/>
  <c r="B15" i="1"/>
  <c r="C4" i="1"/>
  <c r="C3" i="1"/>
  <c r="C2" i="1"/>
</calcChain>
</file>

<file path=xl/sharedStrings.xml><?xml version="1.0" encoding="utf-8"?>
<sst xmlns="http://schemas.openxmlformats.org/spreadsheetml/2006/main" count="3336" uniqueCount="2741">
  <si>
    <t>Hide</t>
  </si>
  <si>
    <t>Description</t>
  </si>
  <si>
    <t>Pack Size</t>
  </si>
  <si>
    <t>Inventory Posting Group</t>
  </si>
  <si>
    <t>Unit Fees</t>
  </si>
  <si>
    <t>Weight</t>
  </si>
  <si>
    <t>Storage</t>
  </si>
  <si>
    <t>Packaging</t>
  </si>
  <si>
    <t>Order Quantity</t>
  </si>
  <si>
    <t>Item Number</t>
  </si>
  <si>
    <t>Date:</t>
  </si>
  <si>
    <t>Time:</t>
  </si>
  <si>
    <t>Phone:(218) 727-5653      Fax:(218) 727-0105</t>
  </si>
  <si>
    <t>Agency Name:</t>
  </si>
  <si>
    <t>hide</t>
  </si>
  <si>
    <t>Amount</t>
  </si>
  <si>
    <t>Requested Pickup Date:</t>
  </si>
  <si>
    <t>Pickup or Delivery:</t>
  </si>
  <si>
    <t>Quanity On Hand</t>
  </si>
  <si>
    <t>Quantity On Sales Orders</t>
  </si>
  <si>
    <t xml:space="preserve">Available Quantity </t>
  </si>
  <si>
    <t>fit</t>
  </si>
  <si>
    <t>Shopping List</t>
  </si>
  <si>
    <t>SH Northern Lakes Food Bank Shopping List</t>
  </si>
  <si>
    <t>Value+Hide</t>
  </si>
  <si>
    <t>Option</t>
  </si>
  <si>
    <t>*, Yes, No</t>
  </si>
  <si>
    <t>Tooltip+Hide</t>
  </si>
  <si>
    <t>Lookup+Hide</t>
  </si>
  <si>
    <t>=NL("Lookup","Inventory Posting Group","Code")</t>
  </si>
  <si>
    <t>=NP("Eval","Today()")</t>
  </si>
  <si>
    <t>=NP("Eval","Now()")</t>
  </si>
  <si>
    <t>=G14</t>
  </si>
  <si>
    <t>=NL("Rows=3","Item","FBC Product Type Code","Quantity on Hand","&gt;0","Shopping List","True","=nf(,""quantity on hand"") - nf(,""qty. on sales order"")","&gt;0")</t>
  </si>
  <si>
    <t>=NL(,"Fbc Product Type","Description","Code",$G14)</t>
  </si>
  <si>
    <t>=F14</t>
  </si>
  <si>
    <t>=NF($H15,"No.")</t>
  </si>
  <si>
    <t>=NF($H15,"Quantity on Hand")</t>
  </si>
  <si>
    <t>=NF($H15,"Qty. on Sales Order")</t>
  </si>
  <si>
    <t>=NF($H15,"Description")</t>
  </si>
  <si>
    <t>=NF($H15,"Pack Size")</t>
  </si>
  <si>
    <t>=NF($H15,"FBC Package Type Code")</t>
  </si>
  <si>
    <t>=NF($H15,"FBC Storage Requirement Code")</t>
  </si>
  <si>
    <t>=NF($H15,"Inventory Posting Group")</t>
  </si>
  <si>
    <t>=NF($H15,"Gross Weight")</t>
  </si>
  <si>
    <t>Auto</t>
  </si>
  <si>
    <t>="03"</t>
  </si>
  <si>
    <t>=F20</t>
  </si>
  <si>
    <t>=F23</t>
  </si>
  <si>
    <t>="04"</t>
  </si>
  <si>
    <t>="06"</t>
  </si>
  <si>
    <t>="07"</t>
  </si>
  <si>
    <t>="10"</t>
  </si>
  <si>
    <t>="12"</t>
  </si>
  <si>
    <t>="13"</t>
  </si>
  <si>
    <t>="15"</t>
  </si>
  <si>
    <t>="16"</t>
  </si>
  <si>
    <t>="19"</t>
  </si>
  <si>
    <t>="21"</t>
  </si>
  <si>
    <t>="23"</t>
  </si>
  <si>
    <t>="24"</t>
  </si>
  <si>
    <t>="25"</t>
  </si>
  <si>
    <t>="26"</t>
  </si>
  <si>
    <t>="27"</t>
  </si>
  <si>
    <t>=NF($H21,"No.")</t>
  </si>
  <si>
    <t>=NF($H24,"No.")</t>
  </si>
  <si>
    <t>=NF($H21,"Quantity on Hand")</t>
  </si>
  <si>
    <t>=NF($H24,"Quantity on Hand")</t>
  </si>
  <si>
    <t>=NF($H21,"Qty. on Sales Order")</t>
  </si>
  <si>
    <t>=NF($H24,"Qty. on Sales Order")</t>
  </si>
  <si>
    <t>=NF($H21,"Description")</t>
  </si>
  <si>
    <t>=NF($H24,"Description")</t>
  </si>
  <si>
    <t>=NF($H21,"Pack Size")</t>
  </si>
  <si>
    <t>=NF($H24,"Pack Size")</t>
  </si>
  <si>
    <t>=NF($H21,"FBC Package Type Code")</t>
  </si>
  <si>
    <t>=NF($H24,"FBC Package Type Code")</t>
  </si>
  <si>
    <t>=NF($H21,"FBC Storage Requirement Code")</t>
  </si>
  <si>
    <t>=NF($H24,"FBC Storage Requirement Code")</t>
  </si>
  <si>
    <t>=NF($H21,"Inventory Posting Group")</t>
  </si>
  <si>
    <t>=NF($H24,"Inventory Posting Group")</t>
  </si>
  <si>
    <t>=NF($H21,"Gross Weight")</t>
  </si>
  <si>
    <t>=NF($H24,"Gross Weight")</t>
  </si>
  <si>
    <t>=IFERROR($U15*$J15," ")</t>
  </si>
  <si>
    <t>=IFERROR($U21*$J21," ")</t>
  </si>
  <si>
    <t>=IFERROR($U24*$J24," ")</t>
  </si>
  <si>
    <t>=NF($H15,"Allocation Quantity (Base)")</t>
  </si>
  <si>
    <t>=NF($H21,"Allocation Quantity (Base)")</t>
  </si>
  <si>
    <t>=NF($H24,"Allocation Quantity (Base)")</t>
  </si>
  <si>
    <t>=IFERROR(K15-L15-M15," ")</t>
  </si>
  <si>
    <t>=IFERROR(K21-L21-M21," ")</t>
  </si>
  <si>
    <t>=IFERROR(K24-L24-M24," ")</t>
  </si>
  <si>
    <t>=IF(N15=0,"hide","")</t>
  </si>
  <si>
    <t>=IF(N21=0,"hide","")</t>
  </si>
  <si>
    <t>=IF(N24=0,"hide","")</t>
  </si>
  <si>
    <t>Title+Hide+?</t>
  </si>
  <si>
    <t>="05"</t>
  </si>
  <si>
    <t>=IF(N30=0,"hide","")</t>
  </si>
  <si>
    <t>=F29</t>
  </si>
  <si>
    <t>=IFERROR(K30-L30-M30," ")</t>
  </si>
  <si>
    <t>=IFERROR($U30*$J30," ")</t>
  </si>
  <si>
    <t>="11"</t>
  </si>
  <si>
    <t>=NF($H30,"No.")</t>
  </si>
  <si>
    <t>=NF($H30,"Quantity on Hand")</t>
  </si>
  <si>
    <t>=NF($H30,"Qty. on Sales Order")</t>
  </si>
  <si>
    <t>=NF($H30,"Allocation Quantity (Base)")</t>
  </si>
  <si>
    <t>=NF($H30,"Description")</t>
  </si>
  <si>
    <t>=NF($H30,"Pack Size")</t>
  </si>
  <si>
    <t>=NF($H30,"FBC Package Type Code")</t>
  </si>
  <si>
    <t>=NF($H30,"FBC Storage Requirement Code")</t>
  </si>
  <si>
    <t>=NF($H30,"Inventory Posting Group")</t>
  </si>
  <si>
    <t>=NF($H30,"Gross Weight")</t>
  </si>
  <si>
    <t>=NF($H15,"Unit Fees")</t>
  </si>
  <si>
    <t>=NF($H21,"Unit Fees")</t>
  </si>
  <si>
    <t>=NF($H24,"Unit Fees")</t>
  </si>
  <si>
    <t>=NF($H30,"Unit Fees")</t>
  </si>
  <si>
    <t>=IF(N29=0,"hide","")</t>
  </si>
  <si>
    <t>=F28</t>
  </si>
  <si>
    <t>=IFERROR(K29-L29-M29," ")</t>
  </si>
  <si>
    <t>=IFERROR($U29*$J29," ")</t>
  </si>
  <si>
    <t>=NF($H29,"No.")</t>
  </si>
  <si>
    <t>=NF($H29,"Quantity on Hand")</t>
  </si>
  <si>
    <t>=NF($H29,"Qty. on Sales Order")</t>
  </si>
  <si>
    <t>=NF($H29,"Allocation Quantity (Base)")</t>
  </si>
  <si>
    <t>=NF($H29,"Description")</t>
  </si>
  <si>
    <t>=NF($H29,"Pack Size")</t>
  </si>
  <si>
    <t>=NF($H29,"FBC Package Type Code")</t>
  </si>
  <si>
    <t>=NF($H29,"FBC Storage Requirement Code")</t>
  </si>
  <si>
    <t>=NF($H29,"Inventory Posting Group")</t>
  </si>
  <si>
    <t>=NF($H29,"Gross Weight")</t>
  </si>
  <si>
    <t>=NF($H29,"Unit Fees")</t>
  </si>
  <si>
    <t>="31"</t>
  </si>
  <si>
    <t>=IF(N25=0,"hide","")</t>
  </si>
  <si>
    <t>=F24</t>
  </si>
  <si>
    <t>=IFERROR(K25-L25-M25," ")</t>
  </si>
  <si>
    <t>=IFERROR($U25*$J25," ")</t>
  </si>
  <si>
    <t>=IF(N26=0,"hide","")</t>
  </si>
  <si>
    <t>=F25</t>
  </si>
  <si>
    <t>=IFERROR(K26-L26-M26," ")</t>
  </si>
  <si>
    <t>=IFERROR($U26*$J26," ")</t>
  </si>
  <si>
    <t>=NF($H25,"No.")</t>
  </si>
  <si>
    <t>=NF($H26,"No.")</t>
  </si>
  <si>
    <t>=NF($H25,"Quantity on Hand")</t>
  </si>
  <si>
    <t>=NF($H26,"Quantity on Hand")</t>
  </si>
  <si>
    <t>=NF($H25,"Qty. on Sales Order")</t>
  </si>
  <si>
    <t>=NF($H26,"Qty. on Sales Order")</t>
  </si>
  <si>
    <t>=NF($H25,"Allocation Quantity (Base)")</t>
  </si>
  <si>
    <t>=NF($H26,"Allocation Quantity (Base)")</t>
  </si>
  <si>
    <t>=NF($H25,"Description")</t>
  </si>
  <si>
    <t>=NF($H26,"Description")</t>
  </si>
  <si>
    <t>=NF($H25,"Pack Size")</t>
  </si>
  <si>
    <t>=NF($H26,"Pack Size")</t>
  </si>
  <si>
    <t>=NF($H25,"FBC Package Type Code")</t>
  </si>
  <si>
    <t>=NF($H26,"FBC Package Type Code")</t>
  </si>
  <si>
    <t>=NF($H25,"FBC Storage Requirement Code")</t>
  </si>
  <si>
    <t>=NF($H26,"FBC Storage Requirement Code")</t>
  </si>
  <si>
    <t>=NF($H25,"Inventory Posting Group")</t>
  </si>
  <si>
    <t>=NF($H26,"Inventory Posting Group")</t>
  </si>
  <si>
    <t>=NF($H25,"Gross Weight")</t>
  </si>
  <si>
    <t>=NF($H26,"Gross Weight")</t>
  </si>
  <si>
    <t>=NF($H25,"Unit Fees")</t>
  </si>
  <si>
    <t>=NF($H26,"Unit Fees")</t>
  </si>
  <si>
    <t>FBC Product Storage</t>
  </si>
  <si>
    <t>=NL("Lookup","FBC Storage Requirement","Code")</t>
  </si>
  <si>
    <t>=NL("Rows","Item",,"FBC Product Type Code","@@"&amp;$F15,"Quantity on Hand","&gt;0","Shopping List",$C$2,"Inventory Posting Group",$C$3,"+Description","*","=nf(,""quantity on hand"") - nf(,""qty. on sales order"")","&gt;0","FBC Storage Requirement Code",$C$4)</t>
  </si>
  <si>
    <t>="*"</t>
  </si>
  <si>
    <t>Auto+Hide+Values+Formulas=Sheet1,Sheet2+FormulasOnly</t>
  </si>
  <si>
    <t>="""Ceres 5 "",""SHNLFB - Duluth - LIVE"",""27"",""1"",""10160"""</t>
  </si>
  <si>
    <t>="""Ceres 5 "",""SHNLFB - Duluth - LIVE"",""27"",""1"",""12813"""</t>
  </si>
  <si>
    <t>="""Ceres 5 "",""SHNLFB - Duluth - LIVE"",""27"",""1"",""10554"""</t>
  </si>
  <si>
    <t>="""Ceres 5 "",""SHNLFB - Duluth - LIVE"",""27"",""1"",""10553"""</t>
  </si>
  <si>
    <t>="""Ceres 5 "",""SHNLFB - Duluth - LIVE"",""27"",""1"",""10276"""</t>
  </si>
  <si>
    <t>="""Ceres 5 "",""SHNLFB - Duluth - LIVE"",""27"",""1"",""12081"""</t>
  </si>
  <si>
    <t>="""Ceres 5 "",""SHNLFB - Duluth - LIVE"",""27"",""1"",""10193"""</t>
  </si>
  <si>
    <t>="""Ceres 5 "",""SHNLFB - Duluth - LIVE"",""27"",""1"",""13383"""</t>
  </si>
  <si>
    <t>="""Ceres 5 "",""SHNLFB - Duluth - LIVE"",""27"",""1"",""10166"""</t>
  </si>
  <si>
    <t>="""Ceres 5 "",""SHNLFB - Duluth - LIVE"",""27"",""1"",""12241"""</t>
  </si>
  <si>
    <t>="""Ceres 5 "",""SHNLFB - Duluth - LIVE"",""27"",""1"",""10633"""</t>
  </si>
  <si>
    <t>="""Ceres 5 "",""SHNLFB - Duluth - LIVE"",""27"",""1"",""10577"""</t>
  </si>
  <si>
    <t>="""Ceres 5 "",""SHNLFB - Duluth - LIVE"",""27"",""1"",""10576"""</t>
  </si>
  <si>
    <t>="""Ceres 5 "",""SHNLFB - Duluth - LIVE"",""27"",""1"",""10740"""</t>
  </si>
  <si>
    <t>="""Ceres 5 "",""SHNLFB - Duluth - LIVE"",""27"",""1"",""12903"""</t>
  </si>
  <si>
    <t>="""Ceres 5 "",""SHNLFB - Duluth - LIVE"",""27"",""1"",""10418"""</t>
  </si>
  <si>
    <t>=IF(N71=0,"hide","")</t>
  </si>
  <si>
    <t>=F70</t>
  </si>
  <si>
    <t>=IFERROR(K71-L71-M71," ")</t>
  </si>
  <si>
    <t>=IFERROR($U71*$J71," ")</t>
  </si>
  <si>
    <t>=NF($H71,"No.")</t>
  </si>
  <si>
    <t>=NF($H71,"Quantity on Hand")</t>
  </si>
  <si>
    <t>=NF($H71,"Qty. on Sales Order")</t>
  </si>
  <si>
    <t>=NF($H71,"Allocation Quantity (Base)")</t>
  </si>
  <si>
    <t>=NF($H71,"Description")</t>
  </si>
  <si>
    <t>=NF($H71,"Pack Size")</t>
  </si>
  <si>
    <t>=NF($H71,"FBC Package Type Code")</t>
  </si>
  <si>
    <t>=NF($H71,"FBC Storage Requirement Code")</t>
  </si>
  <si>
    <t>=NF($H71,"Inventory Posting Group")</t>
  </si>
  <si>
    <t>=NF($H71,"Gross Weight")</t>
  </si>
  <si>
    <t>=NF($H71,"Unit Fees")</t>
  </si>
  <si>
    <t>=IF(N34=0,"hide","")</t>
  </si>
  <si>
    <t>=F33</t>
  </si>
  <si>
    <t>=IFERROR(K34-L34-M34," ")</t>
  </si>
  <si>
    <t>=IFERROR($U34*$J34," ")</t>
  </si>
  <si>
    <t>=IF(N52=0,"hide","")</t>
  </si>
  <si>
    <t>=F51</t>
  </si>
  <si>
    <t>=IFERROR(K52-L52-M52," ")</t>
  </si>
  <si>
    <t>=IFERROR($U52*$J52," ")</t>
  </si>
  <si>
    <t>=IF(N53=0,"hide","")</t>
  </si>
  <si>
    <t>=F52</t>
  </si>
  <si>
    <t>=IFERROR(K53-L53-M53," ")</t>
  </si>
  <si>
    <t>=IFERROR($U53*$J53," ")</t>
  </si>
  <si>
    <t>="09"</t>
  </si>
  <si>
    <t>="""Ceres 5 "",""SHNLFB - Duluth - LIVE"",""27"",""1"",""10236"""</t>
  </si>
  <si>
    <t>="""Ceres 5 "",""SHNLFB - Duluth - LIVE"",""27"",""1"",""13048"""</t>
  </si>
  <si>
    <t>="""Ceres 5 "",""SHNLFB - Duluth - LIVE"",""27"",""1"",""12483"""</t>
  </si>
  <si>
    <t>=NF($H52,"No.")</t>
  </si>
  <si>
    <t>=NF($H53,"No.")</t>
  </si>
  <si>
    <t>=NF($H52,"Quantity on Hand")</t>
  </si>
  <si>
    <t>=NF($H53,"Quantity on Hand")</t>
  </si>
  <si>
    <t>=NF($H52,"Qty. on Sales Order")</t>
  </si>
  <si>
    <t>=NF($H53,"Qty. on Sales Order")</t>
  </si>
  <si>
    <t>=NF($H52,"Allocation Quantity (Base)")</t>
  </si>
  <si>
    <t>=NF($H53,"Allocation Quantity (Base)")</t>
  </si>
  <si>
    <t>=NF($H52,"Description")</t>
  </si>
  <si>
    <t>=NF($H53,"Description")</t>
  </si>
  <si>
    <t>=NF($H52,"Pack Size")</t>
  </si>
  <si>
    <t>=NF($H53,"Pack Size")</t>
  </si>
  <si>
    <t>=NF($H52,"FBC Package Type Code")</t>
  </si>
  <si>
    <t>=NF($H53,"FBC Package Type Code")</t>
  </si>
  <si>
    <t>=NF($H52,"FBC Storage Requirement Code")</t>
  </si>
  <si>
    <t>=NF($H53,"FBC Storage Requirement Code")</t>
  </si>
  <si>
    <t>=NF($H52,"Inventory Posting Group")</t>
  </si>
  <si>
    <t>=NF($H53,"Inventory Posting Group")</t>
  </si>
  <si>
    <t>=NF($H52,"Gross Weight")</t>
  </si>
  <si>
    <t>=NF($H53,"Gross Weight")</t>
  </si>
  <si>
    <t>=NF($H52,"Unit Fees")</t>
  </si>
  <si>
    <t>=NF($H53,"Unit Fees")</t>
  </si>
  <si>
    <t>=NF($H34,"No.")</t>
  </si>
  <si>
    <t>=NF($H34,"Quantity on Hand")</t>
  </si>
  <si>
    <t>=NF($H34,"Qty. on Sales Order")</t>
  </si>
  <si>
    <t>=NF($H34,"Allocation Quantity (Base)")</t>
  </si>
  <si>
    <t>=NF($H34,"Description")</t>
  </si>
  <si>
    <t>=NF($H34,"Pack Size")</t>
  </si>
  <si>
    <t>=NF($H34,"FBC Package Type Code")</t>
  </si>
  <si>
    <t>=NF($H34,"FBC Storage Requirement Code")</t>
  </si>
  <si>
    <t>=NF($H34,"Inventory Posting Group")</t>
  </si>
  <si>
    <t>=NF($H34,"Gross Weight")</t>
  </si>
  <si>
    <t>=NF($H34,"Unit Fees")</t>
  </si>
  <si>
    <t>=IF(N31=0,"hide","")</t>
  </si>
  <si>
    <t>=F30</t>
  </si>
  <si>
    <t>=IFERROR(K31-L31-M31," ")</t>
  </si>
  <si>
    <t>=IFERROR($U31*$J31," ")</t>
  </si>
  <si>
    <t>="""Ceres 5 "",""SHNLFB - Duluth - LIVE"",""27"",""1"",""13554"""</t>
  </si>
  <si>
    <t>=NF($H31,"No.")</t>
  </si>
  <si>
    <t>=NF($H31,"Quantity on Hand")</t>
  </si>
  <si>
    <t>=NF($H31,"Qty. on Sales Order")</t>
  </si>
  <si>
    <t>=NF($H31,"Allocation Quantity (Base)")</t>
  </si>
  <si>
    <t>=NF($H31,"Description")</t>
  </si>
  <si>
    <t>=NF($H31,"Pack Size")</t>
  </si>
  <si>
    <t>=NF($H31,"FBC Package Type Code")</t>
  </si>
  <si>
    <t>=NF($H31,"FBC Storage Requirement Code")</t>
  </si>
  <si>
    <t>=NF($H31,"Inventory Posting Group")</t>
  </si>
  <si>
    <t>=NF($H31,"Gross Weight")</t>
  </si>
  <si>
    <t>=NF($H31,"Unit Fees")</t>
  </si>
  <si>
    <t>=IF(N32=0,"hide","")</t>
  </si>
  <si>
    <t>=F31</t>
  </si>
  <si>
    <t>=IFERROR(K32-L32-M32," ")</t>
  </si>
  <si>
    <t>=IFERROR($U32*$J32," ")</t>
  </si>
  <si>
    <t>=IF(N33=0,"hide","")</t>
  </si>
  <si>
    <t>=F32</t>
  </si>
  <si>
    <t>=IFERROR(K33-L33-M33," ")</t>
  </si>
  <si>
    <t>=IFERROR($U33*$J33," ")</t>
  </si>
  <si>
    <t>=NF($H32,"No.")</t>
  </si>
  <si>
    <t>=NF($H33,"No.")</t>
  </si>
  <si>
    <t>=NF($H32,"Quantity on Hand")</t>
  </si>
  <si>
    <t>=NF($H33,"Quantity on Hand")</t>
  </si>
  <si>
    <t>=NF($H32,"Qty. on Sales Order")</t>
  </si>
  <si>
    <t>=NF($H33,"Qty. on Sales Order")</t>
  </si>
  <si>
    <t>=NF($H32,"Allocation Quantity (Base)")</t>
  </si>
  <si>
    <t>=NF($H33,"Allocation Quantity (Base)")</t>
  </si>
  <si>
    <t>=NF($H32,"Description")</t>
  </si>
  <si>
    <t>=NF($H33,"Description")</t>
  </si>
  <si>
    <t>=NF($H32,"Pack Size")</t>
  </si>
  <si>
    <t>=NF($H33,"Pack Size")</t>
  </si>
  <si>
    <t>=NF($H32,"FBC Package Type Code")</t>
  </si>
  <si>
    <t>=NF($H33,"FBC Package Type Code")</t>
  </si>
  <si>
    <t>=NF($H32,"FBC Storage Requirement Code")</t>
  </si>
  <si>
    <t>=NF($H33,"FBC Storage Requirement Code")</t>
  </si>
  <si>
    <t>=NF($H32,"Inventory Posting Group")</t>
  </si>
  <si>
    <t>=NF($H33,"Inventory Posting Group")</t>
  </si>
  <si>
    <t>=NF($H32,"Gross Weight")</t>
  </si>
  <si>
    <t>=NF($H33,"Gross Weight")</t>
  </si>
  <si>
    <t>=NF($H32,"Unit Fees")</t>
  </si>
  <si>
    <t>=NF($H33,"Unit Fees")</t>
  </si>
  <si>
    <t>Auto+Hide+Values+Formulas=Sheet3,Sheet1,Sheet2</t>
  </si>
  <si>
    <t>Auto+Hide+Values+Formulas=Sheet3,Sheet1,Sheet2+FormulasOnly</t>
  </si>
  <si>
    <t>="""Ceres 5 "",""SHNLFB - Duluth - LIVE"",""27"",""1"",""11609"""</t>
  </si>
  <si>
    <t>="""Ceres 5 "",""SHNLFB - Duluth - LIVE"",""27"",""1"",""11538"""</t>
  </si>
  <si>
    <t>="""Ceres 5 "",""SHNLFB - Duluth - LIVE"",""27"",""1"",""13564"""</t>
  </si>
  <si>
    <t>="""Ceres 5 "",""SHNLFB - Duluth - LIVE"",""27"",""1"",""10353"""</t>
  </si>
  <si>
    <t>="YES"</t>
  </si>
  <si>
    <t>=IF(N35=0,"hide","")</t>
  </si>
  <si>
    <t>=F34</t>
  </si>
  <si>
    <t>=IFERROR(K35-L35-M35," ")</t>
  </si>
  <si>
    <t>=IFERROR($U35*$J35," ")</t>
  </si>
  <si>
    <t>=NF($H35,"No.")</t>
  </si>
  <si>
    <t>=NF($H35,"Quantity on Hand")</t>
  </si>
  <si>
    <t>=NF($H35,"Qty. on Sales Order")</t>
  </si>
  <si>
    <t>=NF($H35,"Allocation Quantity (Base)")</t>
  </si>
  <si>
    <t>=NF($H35,"Description")</t>
  </si>
  <si>
    <t>=NF($H35,"Pack Size")</t>
  </si>
  <si>
    <t>=NF($H35,"FBC Package Type Code")</t>
  </si>
  <si>
    <t>=NF($H35,"FBC Storage Requirement Code")</t>
  </si>
  <si>
    <t>=NF($H35,"Inventory Posting Group")</t>
  </si>
  <si>
    <t>=NF($H35,"Gross Weight")</t>
  </si>
  <si>
    <t>=NF($H35,"Unit Fees")</t>
  </si>
  <si>
    <t>=IF(N75=0,"hide","")</t>
  </si>
  <si>
    <t>=F74</t>
  </si>
  <si>
    <t>=IFERROR(K75-L75-M75," ")</t>
  </si>
  <si>
    <t>=IFERROR($U75*$J75," ")</t>
  </si>
  <si>
    <t>=NF($H75,"No.")</t>
  </si>
  <si>
    <t>=NF($H75,"Quantity on Hand")</t>
  </si>
  <si>
    <t>=NF($H75,"Qty. on Sales Order")</t>
  </si>
  <si>
    <t>=NF($H75,"Allocation Quantity (Base)")</t>
  </si>
  <si>
    <t>=NF($H75,"Description")</t>
  </si>
  <si>
    <t>=NF($H75,"Pack Size")</t>
  </si>
  <si>
    <t>=NF($H75,"FBC Package Type Code")</t>
  </si>
  <si>
    <t>=NF($H75,"FBC Storage Requirement Code")</t>
  </si>
  <si>
    <t>=NF($H75,"Inventory Posting Group")</t>
  </si>
  <si>
    <t>=NF($H75,"Gross Weight")</t>
  </si>
  <si>
    <t>=NF($H75,"Unit Fees")</t>
  </si>
  <si>
    <t>="BBPUR..DON"</t>
  </si>
  <si>
    <t>=IF(N16=0,"hide","")</t>
  </si>
  <si>
    <t>=F15</t>
  </si>
  <si>
    <t>=IFERROR(K16-L16-M16," ")</t>
  </si>
  <si>
    <t>=IFERROR($U16*$J16," ")</t>
  </si>
  <si>
    <t>="""Ceres 5 "",""SHNLFB - Duluth - LIVE"",""27"",""1"",""11084"""</t>
  </si>
  <si>
    <t>=IF(N22=0,"hide","")</t>
  </si>
  <si>
    <t>=F21</t>
  </si>
  <si>
    <t>="""Ceres 5 "",""SHNLFB - Duluth - LIVE"",""27"",""1"",""11120"""</t>
  </si>
  <si>
    <t>=IFERROR(K22-L22-M22," ")</t>
  </si>
  <si>
    <t>=IFERROR($U22*$J22," ")</t>
  </si>
  <si>
    <t>=IF(N23=0,"hide","")</t>
  </si>
  <si>
    <t>=F22</t>
  </si>
  <si>
    <t>=IFERROR(K23-L23-M23," ")</t>
  </si>
  <si>
    <t>=IFERROR($U23*$J23," ")</t>
  </si>
  <si>
    <t>="""Ceres 5 "",""SHNLFB - Duluth - LIVE"",""27"",""1"",""10701"""</t>
  </si>
  <si>
    <t>="""Ceres 5 "",""SHNLFB - Duluth - LIVE"",""27"",""1"",""12140"""</t>
  </si>
  <si>
    <t>="""Ceres 5 "",""SHNLFB - Duluth - LIVE"",""27"",""1"",""11225"""</t>
  </si>
  <si>
    <t>=IF(N27=0,"hide","")</t>
  </si>
  <si>
    <t>=F26</t>
  </si>
  <si>
    <t>=IFERROR(K27-L27-M27," ")</t>
  </si>
  <si>
    <t>=IFERROR($U27*$J27," ")</t>
  </si>
  <si>
    <t>=IF(N28=0,"hide","")</t>
  </si>
  <si>
    <t>=F27</t>
  </si>
  <si>
    <t>="""Ceres 5 "",""SHNLFB - Duluth - LIVE"",""27"",""1"",""12035"""</t>
  </si>
  <si>
    <t>=IFERROR(K28-L28-M28," ")</t>
  </si>
  <si>
    <t>=IFERROR($U28*$J28," ")</t>
  </si>
  <si>
    <t>="""Ceres 5 "",""SHNLFB - Duluth - LIVE"",""27"",""1"",""11223"""</t>
  </si>
  <si>
    <t>="""Ceres 5 "",""SHNLFB - Duluth - LIVE"",""27"",""1"",""12563"""</t>
  </si>
  <si>
    <t>="""Ceres 5 "",""SHNLFB - Duluth - LIVE"",""27"",""1"",""11159"""</t>
  </si>
  <si>
    <t>="""Ceres 5 "",""SHNLFB - Duluth - LIVE"",""27"",""1"",""12867"""</t>
  </si>
  <si>
    <t>=IF(N76=0,"hide","")</t>
  </si>
  <si>
    <t>=F75</t>
  </si>
  <si>
    <t>=IFERROR(K76-L76-M76," ")</t>
  </si>
  <si>
    <t>=IFERROR($U76*$J76," ")</t>
  </si>
  <si>
    <t>="""Ceres 5 "",""SHNLFB - Duluth - LIVE"",""27"",""1"",""13593"""</t>
  </si>
  <si>
    <t>="""Ceres 5 "",""SHNLFB - Duluth - LIVE"",""27"",""1"",""10206"""</t>
  </si>
  <si>
    <t>="""Ceres 5 "",""SHNLFB - Duluth - LIVE"",""27"",""1"",""10240"""</t>
  </si>
  <si>
    <t>="""Ceres 5 "",""SHNLFB - Duluth - LIVE"",""27"",""1"",""10296"""</t>
  </si>
  <si>
    <t>="""Ceres 5 "",""SHNLFB - Duluth - LIVE"",""27"",""1"",""13568"""</t>
  </si>
  <si>
    <t>="""Ceres 5 "",""SHNLFB - Duluth - LIVE"",""27"",""1"",""10295"""</t>
  </si>
  <si>
    <t>="""Ceres 5 "",""SHNLFB - Duluth - LIVE"",""27"",""1"",""13539"""</t>
  </si>
  <si>
    <t>="""Ceres 5 "",""SHNLFB - Duluth - LIVE"",""27"",""1"",""11599"""</t>
  </si>
  <si>
    <t>="""Ceres 5 "",""SHNLFB - Duluth - LIVE"",""27"",""1"",""11976"""</t>
  </si>
  <si>
    <t>="""Ceres 5 "",""SHNLFB - Duluth - LIVE"",""27"",""1"",""12059"""</t>
  </si>
  <si>
    <t>="""Ceres 5 "",""SHNLFB - Duluth - LIVE"",""27"",""1"",""13361"""</t>
  </si>
  <si>
    <t>="""Ceres 5 "",""SHNLFB - Duluth - LIVE"",""27"",""1"",""11846"""</t>
  </si>
  <si>
    <t>="""Ceres 5 "",""SHNLFB - Duluth - LIVE"",""27"",""1"",""11253"""</t>
  </si>
  <si>
    <t>="""Ceres 5 "",""SHNLFB - Duluth - LIVE"",""27"",""1"",""10245"""</t>
  </si>
  <si>
    <t>="""Ceres 5 "",""SHNLFB - Duluth - LIVE"",""27"",""1"",""10015"""</t>
  </si>
  <si>
    <t>="""Ceres 5 "",""SHNLFB - Duluth - LIVE"",""27"",""1"",""10019"""</t>
  </si>
  <si>
    <t>=IF(N199=0,"hide","")</t>
  </si>
  <si>
    <t>=F198</t>
  </si>
  <si>
    <t>=IFERROR(K199-L199-M199," ")</t>
  </si>
  <si>
    <t>=IFERROR($U199*$J199," ")</t>
  </si>
  <si>
    <t>=IF(N200=0,"hide","")</t>
  </si>
  <si>
    <t>=F199</t>
  </si>
  <si>
    <t>=IFERROR(K200-L200-M200," ")</t>
  </si>
  <si>
    <t>=IFERROR($U200*$J200," ")</t>
  </si>
  <si>
    <t>=IF(N201=0,"hide","")</t>
  </si>
  <si>
    <t>=F200</t>
  </si>
  <si>
    <t>=IFERROR(K201-L201-M201," ")</t>
  </si>
  <si>
    <t>=IFERROR($U201*$J201," ")</t>
  </si>
  <si>
    <t>=IF(N202=0,"hide","")</t>
  </si>
  <si>
    <t>=F201</t>
  </si>
  <si>
    <t>=IFERROR(K202-L202-M202," ")</t>
  </si>
  <si>
    <t>=IFERROR($U202*$J202," ")</t>
  </si>
  <si>
    <t>="""Ceres 5 "",""SHNLFB - Duluth - LIVE"",""27"",""1"",""12635"""</t>
  </si>
  <si>
    <t>="""Ceres 5 "",""SHNLFB - Duluth - LIVE"",""27"",""1"",""11441"""</t>
  </si>
  <si>
    <t>="""Ceres 5 "",""SHNLFB - Duluth - LIVE"",""27"",""1"",""11323"""</t>
  </si>
  <si>
    <t>="""Ceres 5 "",""SHNLFB - Duluth - LIVE"",""27"",""1"",""11324"""</t>
  </si>
  <si>
    <t>="""Ceres 5 "",""SHNLFB - Duluth - LIVE"",""27"",""1"",""10453"""</t>
  </si>
  <si>
    <t>="""Ceres 5 "",""SHNLFB - Duluth - LIVE"",""27"",""1"",""11263"""</t>
  </si>
  <si>
    <t>="""Ceres 5 "",""SHNLFB - Duluth - LIVE"",""27"",""1"",""10622"""</t>
  </si>
  <si>
    <t>="""Ceres 5 "",""SHNLFB - Duluth - LIVE"",""27"",""1"",""10217"""</t>
  </si>
  <si>
    <t>="""Ceres 5 "",""SHNLFB - Duluth - LIVE"",""27"",""1"",""10661"""</t>
  </si>
  <si>
    <t>="""Ceres 5 "",""SHNLFB - Duluth - LIVE"",""27"",""1"",""10491"""</t>
  </si>
  <si>
    <t>="""Ceres 5 "",""SHNLFB - Duluth - LIVE"",""27"",""1"",""10436"""</t>
  </si>
  <si>
    <t>="""Ceres 5 "",""SHNLFB - Duluth - LIVE"",""27"",""1"",""12349"""</t>
  </si>
  <si>
    <t>=NF($H16,"No.")</t>
  </si>
  <si>
    <t>=NF($H16,"Quantity on Hand")</t>
  </si>
  <si>
    <t>=NF($H16,"Qty. on Sales Order")</t>
  </si>
  <si>
    <t>=NF($H16,"Allocation Quantity (Base)")</t>
  </si>
  <si>
    <t>=NF($H16,"Description")</t>
  </si>
  <si>
    <t>=NF($H16,"Pack Size")</t>
  </si>
  <si>
    <t>=NF($H16,"FBC Package Type Code")</t>
  </si>
  <si>
    <t>=NF($H16,"FBC Storage Requirement Code")</t>
  </si>
  <si>
    <t>=NF($H16,"Inventory Posting Group")</t>
  </si>
  <si>
    <t>=NF($H16,"Gross Weight")</t>
  </si>
  <si>
    <t>=NF($H16,"Unit Fees")</t>
  </si>
  <si>
    <t>=NF($H199,"No.")</t>
  </si>
  <si>
    <t>=NF($H200,"No.")</t>
  </si>
  <si>
    <t>=NF($H201,"No.")</t>
  </si>
  <si>
    <t>=NF($H202,"No.")</t>
  </si>
  <si>
    <t>=NF($H199,"Quantity on Hand")</t>
  </si>
  <si>
    <t>=NF($H200,"Quantity on Hand")</t>
  </si>
  <si>
    <t>=NF($H201,"Quantity on Hand")</t>
  </si>
  <si>
    <t>=NF($H202,"Quantity on Hand")</t>
  </si>
  <si>
    <t>=NF($H199,"Qty. on Sales Order")</t>
  </si>
  <si>
    <t>=NF($H200,"Qty. on Sales Order")</t>
  </si>
  <si>
    <t>=NF($H201,"Qty. on Sales Order")</t>
  </si>
  <si>
    <t>=NF($H202,"Qty. on Sales Order")</t>
  </si>
  <si>
    <t>=NF($H199,"Allocation Quantity (Base)")</t>
  </si>
  <si>
    <t>=NF($H200,"Allocation Quantity (Base)")</t>
  </si>
  <si>
    <t>=NF($H201,"Allocation Quantity (Base)")</t>
  </si>
  <si>
    <t>=NF($H202,"Allocation Quantity (Base)")</t>
  </si>
  <si>
    <t>=NF($H199,"Description")</t>
  </si>
  <si>
    <t>=NF($H200,"Description")</t>
  </si>
  <si>
    <t>=NF($H201,"Description")</t>
  </si>
  <si>
    <t>=NF($H202,"Description")</t>
  </si>
  <si>
    <t>=NF($H199,"Pack Size")</t>
  </si>
  <si>
    <t>=NF($H200,"Pack Size")</t>
  </si>
  <si>
    <t>=NF($H201,"Pack Size")</t>
  </si>
  <si>
    <t>=NF($H202,"Pack Size")</t>
  </si>
  <si>
    <t>=NF($H199,"FBC Package Type Code")</t>
  </si>
  <si>
    <t>=NF($H200,"FBC Package Type Code")</t>
  </si>
  <si>
    <t>=NF($H201,"FBC Package Type Code")</t>
  </si>
  <si>
    <t>=NF($H202,"FBC Package Type Code")</t>
  </si>
  <si>
    <t>=NF($H199,"FBC Storage Requirement Code")</t>
  </si>
  <si>
    <t>=NF($H200,"FBC Storage Requirement Code")</t>
  </si>
  <si>
    <t>=NF($H201,"FBC Storage Requirement Code")</t>
  </si>
  <si>
    <t>=NF($H202,"FBC Storage Requirement Code")</t>
  </si>
  <si>
    <t>=NF($H199,"Inventory Posting Group")</t>
  </si>
  <si>
    <t>=NF($H200,"Inventory Posting Group")</t>
  </si>
  <si>
    <t>=NF($H201,"Inventory Posting Group")</t>
  </si>
  <si>
    <t>=NF($H202,"Inventory Posting Group")</t>
  </si>
  <si>
    <t>=NF($H199,"Gross Weight")</t>
  </si>
  <si>
    <t>=NF($H200,"Gross Weight")</t>
  </si>
  <si>
    <t>=NF($H201,"Gross Weight")</t>
  </si>
  <si>
    <t>=NF($H202,"Gross Weight")</t>
  </si>
  <si>
    <t>=NF($H199,"Unit Fees")</t>
  </si>
  <si>
    <t>=NF($H200,"Unit Fees")</t>
  </si>
  <si>
    <t>=NF($H201,"Unit Fees")</t>
  </si>
  <si>
    <t>=NF($H202,"Unit Fees")</t>
  </si>
  <si>
    <t>=NF($H76,"No.")</t>
  </si>
  <si>
    <t>=NF($H76,"Quantity on Hand")</t>
  </si>
  <si>
    <t>=NF($H76,"Qty. on Sales Order")</t>
  </si>
  <si>
    <t>=NF($H76,"Allocation Quantity (Base)")</t>
  </si>
  <si>
    <t>=NF($H76,"Description")</t>
  </si>
  <si>
    <t>=NF($H76,"Pack Size")</t>
  </si>
  <si>
    <t>=NF($H76,"FBC Package Type Code")</t>
  </si>
  <si>
    <t>=NF($H76,"FBC Storage Requirement Code")</t>
  </si>
  <si>
    <t>=NF($H76,"Inventory Posting Group")</t>
  </si>
  <si>
    <t>=NF($H76,"Gross Weight")</t>
  </si>
  <si>
    <t>=NF($H76,"Unit Fees")</t>
  </si>
  <si>
    <t>=NF($H22,"No.")</t>
  </si>
  <si>
    <t>=NF($H23,"No.")</t>
  </si>
  <si>
    <t>=NF($H27,"No.")</t>
  </si>
  <si>
    <t>=NF($H28,"No.")</t>
  </si>
  <si>
    <t>=NF($H22,"Quantity on Hand")</t>
  </si>
  <si>
    <t>=NF($H23,"Quantity on Hand")</t>
  </si>
  <si>
    <t>=NF($H27,"Quantity on Hand")</t>
  </si>
  <si>
    <t>=NF($H28,"Quantity on Hand")</t>
  </si>
  <si>
    <t>=NF($H22,"Qty. on Sales Order")</t>
  </si>
  <si>
    <t>=NF($H23,"Qty. on Sales Order")</t>
  </si>
  <si>
    <t>=NF($H27,"Qty. on Sales Order")</t>
  </si>
  <si>
    <t>=NF($H28,"Qty. on Sales Order")</t>
  </si>
  <si>
    <t>=NF($H22,"Allocation Quantity (Base)")</t>
  </si>
  <si>
    <t>=NF($H23,"Allocation Quantity (Base)")</t>
  </si>
  <si>
    <t>=NF($H27,"Allocation Quantity (Base)")</t>
  </si>
  <si>
    <t>=NF($H28,"Allocation Quantity (Base)")</t>
  </si>
  <si>
    <t>=NF($H22,"Description")</t>
  </si>
  <si>
    <t>=NF($H23,"Description")</t>
  </si>
  <si>
    <t>=NF($H27,"Description")</t>
  </si>
  <si>
    <t>=NF($H28,"Description")</t>
  </si>
  <si>
    <t>=NF($H22,"Pack Size")</t>
  </si>
  <si>
    <t>=NF($H23,"Pack Size")</t>
  </si>
  <si>
    <t>=NF($H27,"Pack Size")</t>
  </si>
  <si>
    <t>=NF($H28,"Pack Size")</t>
  </si>
  <si>
    <t>=NF($H22,"FBC Package Type Code")</t>
  </si>
  <si>
    <t>=NF($H23,"FBC Package Type Code")</t>
  </si>
  <si>
    <t>=NF($H27,"FBC Package Type Code")</t>
  </si>
  <si>
    <t>=NF($H28,"FBC Package Type Code")</t>
  </si>
  <si>
    <t>=NF($H22,"FBC Storage Requirement Code")</t>
  </si>
  <si>
    <t>=NF($H23,"FBC Storage Requirement Code")</t>
  </si>
  <si>
    <t>=NF($H27,"FBC Storage Requirement Code")</t>
  </si>
  <si>
    <t>=NF($H28,"FBC Storage Requirement Code")</t>
  </si>
  <si>
    <t>=NF($H22,"Inventory Posting Group")</t>
  </si>
  <si>
    <t>=NF($H23,"Inventory Posting Group")</t>
  </si>
  <si>
    <t>=NF($H27,"Inventory Posting Group")</t>
  </si>
  <si>
    <t>=NF($H28,"Inventory Posting Group")</t>
  </si>
  <si>
    <t>=NF($H22,"Gross Weight")</t>
  </si>
  <si>
    <t>=NF($H23,"Gross Weight")</t>
  </si>
  <si>
    <t>=NF($H27,"Gross Weight")</t>
  </si>
  <si>
    <t>=NF($H28,"Gross Weight")</t>
  </si>
  <si>
    <t>=NF($H22,"Unit Fees")</t>
  </si>
  <si>
    <t>=NF($H23,"Unit Fees")</t>
  </si>
  <si>
    <t>=NF($H27,"Unit Fees")</t>
  </si>
  <si>
    <t>=NF($H28,"Unit Fees")</t>
  </si>
  <si>
    <t>=IF(N72=0,"hide","")</t>
  </si>
  <si>
    <t>=F71</t>
  </si>
  <si>
    <t>=IFERROR(K72-L72-M72," ")</t>
  </si>
  <si>
    <t>=IFERROR($U72*$J72," ")</t>
  </si>
  <si>
    <t>=IF(N211=0,"hide","")</t>
  </si>
  <si>
    <t>=F210</t>
  </si>
  <si>
    <t>=IFERROR(K211-L211-M211," ")</t>
  </si>
  <si>
    <t>=IFERROR($U211*$J211," ")</t>
  </si>
  <si>
    <t>=IF(N212=0,"hide","")</t>
  </si>
  <si>
    <t>=F211</t>
  </si>
  <si>
    <t>=IFERROR(K212-L212-M212," ")</t>
  </si>
  <si>
    <t>=IFERROR($U212*$J212," ")</t>
  </si>
  <si>
    <t>=NF($H211,"No.")</t>
  </si>
  <si>
    <t>=NF($H212,"No.")</t>
  </si>
  <si>
    <t>=NF($H211,"Quantity on Hand")</t>
  </si>
  <si>
    <t>=NF($H212,"Quantity on Hand")</t>
  </si>
  <si>
    <t>=NF($H211,"Qty. on Sales Order")</t>
  </si>
  <si>
    <t>=NF($H212,"Qty. on Sales Order")</t>
  </si>
  <si>
    <t>=NF($H211,"Allocation Quantity (Base)")</t>
  </si>
  <si>
    <t>=NF($H212,"Allocation Quantity (Base)")</t>
  </si>
  <si>
    <t>=NF($H211,"Description")</t>
  </si>
  <si>
    <t>=NF($H212,"Description")</t>
  </si>
  <si>
    <t>=NF($H211,"Pack Size")</t>
  </si>
  <si>
    <t>=NF($H212,"Pack Size")</t>
  </si>
  <si>
    <t>=NF($H211,"FBC Package Type Code")</t>
  </si>
  <si>
    <t>=NF($H212,"FBC Package Type Code")</t>
  </si>
  <si>
    <t>=NF($H211,"FBC Storage Requirement Code")</t>
  </si>
  <si>
    <t>=NF($H212,"FBC Storage Requirement Code")</t>
  </si>
  <si>
    <t>=NF($H211,"Inventory Posting Group")</t>
  </si>
  <si>
    <t>=NF($H212,"Inventory Posting Group")</t>
  </si>
  <si>
    <t>=NF($H211,"Gross Weight")</t>
  </si>
  <si>
    <t>=NF($H212,"Gross Weight")</t>
  </si>
  <si>
    <t>=NF($H211,"Unit Fees")</t>
  </si>
  <si>
    <t>=NF($H212,"Unit Fees")</t>
  </si>
  <si>
    <t>=NF($H72,"No.")</t>
  </si>
  <si>
    <t>=NF($H72,"Quantity on Hand")</t>
  </si>
  <si>
    <t>=NF($H72,"Qty. on Sales Order")</t>
  </si>
  <si>
    <t>=NF($H72,"Allocation Quantity (Base)")</t>
  </si>
  <si>
    <t>=NF($H72,"Description")</t>
  </si>
  <si>
    <t>=NF($H72,"Pack Size")</t>
  </si>
  <si>
    <t>=NF($H72,"FBC Package Type Code")</t>
  </si>
  <si>
    <t>=NF($H72,"FBC Storage Requirement Code")</t>
  </si>
  <si>
    <t>=NF($H72,"Inventory Posting Group")</t>
  </si>
  <si>
    <t>=NF($H72,"Gross Weight")</t>
  </si>
  <si>
    <t>=NF($H72,"Unit Fees")</t>
  </si>
  <si>
    <t>=IF(N54=0,"hide","")</t>
  </si>
  <si>
    <t>=F53</t>
  </si>
  <si>
    <t>=IFERROR(K54-L54-M54," ")</t>
  </si>
  <si>
    <t>=IFERROR($U54*$J54," ")</t>
  </si>
  <si>
    <t>="""Ceres 5 "",""SHNLFB - Duluth - LIVE"",""27"",""1"",""12049"""</t>
  </si>
  <si>
    <t>="""Ceres 5 "",""SHNLFB - Duluth - LIVE"",""27"",""1"",""12095"""</t>
  </si>
  <si>
    <t>="""Ceres 5 "",""SHNLFB - Duluth - LIVE"",""27"",""1"",""13594"""</t>
  </si>
  <si>
    <t>="""Ceres 5 "",""SHNLFB - Duluth - LIVE"",""27"",""1"",""10018"""</t>
  </si>
  <si>
    <t>=IF(N208=0,"hide","")</t>
  </si>
  <si>
    <t>=F207</t>
  </si>
  <si>
    <t>=IFERROR(K208-L208-M208," ")</t>
  </si>
  <si>
    <t>=IFERROR($U208*$J208," ")</t>
  </si>
  <si>
    <t>="""Ceres 5 "",""SHNLFB - Duluth - LIVE"",""27"",""1"",""10165"""</t>
  </si>
  <si>
    <t>="""Ceres 5 "",""SHNLFB - Duluth - LIVE"",""27"",""1"",""12227"""</t>
  </si>
  <si>
    <t>="""Ceres 5 "",""SHNLFB - Duluth - LIVE"",""27"",""1"",""11861"""</t>
  </si>
  <si>
    <t>=NF($H208,"No.")</t>
  </si>
  <si>
    <t>=NF($H208,"Quantity on Hand")</t>
  </si>
  <si>
    <t>=NF($H208,"Qty. on Sales Order")</t>
  </si>
  <si>
    <t>=NF($H208,"Allocation Quantity (Base)")</t>
  </si>
  <si>
    <t>=NF($H208,"Description")</t>
  </si>
  <si>
    <t>=NF($H208,"Pack Size")</t>
  </si>
  <si>
    <t>=NF($H208,"FBC Package Type Code")</t>
  </si>
  <si>
    <t>=NF($H208,"FBC Storage Requirement Code")</t>
  </si>
  <si>
    <t>=NF($H208,"Inventory Posting Group")</t>
  </si>
  <si>
    <t>=NF($H208,"Gross Weight")</t>
  </si>
  <si>
    <t>=NF($H208,"Unit Fees")</t>
  </si>
  <si>
    <t>=NF($H54,"No.")</t>
  </si>
  <si>
    <t>=NF($H54,"Quantity on Hand")</t>
  </si>
  <si>
    <t>=NF($H54,"Qty. on Sales Order")</t>
  </si>
  <si>
    <t>=NF($H54,"Allocation Quantity (Base)")</t>
  </si>
  <si>
    <t>=NF($H54,"Description")</t>
  </si>
  <si>
    <t>=NF($H54,"Pack Size")</t>
  </si>
  <si>
    <t>=NF($H54,"FBC Package Type Code")</t>
  </si>
  <si>
    <t>=NF($H54,"FBC Storage Requirement Code")</t>
  </si>
  <si>
    <t>=NF($H54,"Inventory Posting Group")</t>
  </si>
  <si>
    <t>=NF($H54,"Gross Weight")</t>
  </si>
  <si>
    <t>=NF($H54,"Unit Fees")</t>
  </si>
  <si>
    <t>="""Ceres 5 "",""SHNLFB - Duluth - LIVE"",""27"",""1"",""11193"""</t>
  </si>
  <si>
    <t>="""Ceres 5 "",""SHNLFB - Duluth - LIVE"",""27"",""1"",""13606"""</t>
  </si>
  <si>
    <t>="""Ceres 5 "",""SHNLFB - Duluth - LIVE"",""27"",""1"",""11696"""</t>
  </si>
  <si>
    <t>="""Ceres 5 "",""SHNLFB - Duluth - LIVE"",""27"",""1"",""10801"""</t>
  </si>
  <si>
    <t>=IF(N20=0,"hide","")</t>
  </si>
  <si>
    <t>=F19</t>
  </si>
  <si>
    <t>=IFERROR(K20-L20-M20," ")</t>
  </si>
  <si>
    <t>=IFERROR($U20*$J20," ")</t>
  </si>
  <si>
    <t>="""Ceres 5 "",""SHNLFB - Duluth - LIVE"",""27"",""1"",""12088"""</t>
  </si>
  <si>
    <t>="""Ceres 5 "",""SHNLFB - Duluth - LIVE"",""27"",""1"",""11958"""</t>
  </si>
  <si>
    <t>="""Ceres 5 "",""SHNLFB - Duluth - LIVE"",""27"",""1"",""13625"""</t>
  </si>
  <si>
    <t>="""Ceres 5 "",""SHNLFB - Duluth - LIVE"",""27"",""1"",""13626"""</t>
  </si>
  <si>
    <t>=IF(N91=0,"hide","")</t>
  </si>
  <si>
    <t>=F90</t>
  </si>
  <si>
    <t>=IFERROR(K91-L91-M91," ")</t>
  </si>
  <si>
    <t>=IFERROR($U91*$J91," ")</t>
  </si>
  <si>
    <t>="""Ceres 5 "",""SHNLFB - Duluth - LIVE"",""27"",""1"",""13622"""</t>
  </si>
  <si>
    <t>="""Ceres 5 "",""SHNLFB - Duluth - LIVE"",""27"",""1"",""10606"""</t>
  </si>
  <si>
    <t>=NF($H91,"No.")</t>
  </si>
  <si>
    <t>=NF($H91,"Quantity on Hand")</t>
  </si>
  <si>
    <t>=NF($H91,"Qty. on Sales Order")</t>
  </si>
  <si>
    <t>=NF($H91,"Allocation Quantity (Base)")</t>
  </si>
  <si>
    <t>=NF($H91,"Description")</t>
  </si>
  <si>
    <t>=NF($H91,"Pack Size")</t>
  </si>
  <si>
    <t>=NF($H91,"FBC Package Type Code")</t>
  </si>
  <si>
    <t>=NF($H91,"FBC Storage Requirement Code")</t>
  </si>
  <si>
    <t>=NF($H91,"Inventory Posting Group")</t>
  </si>
  <si>
    <t>=NF($H91,"Gross Weight")</t>
  </si>
  <si>
    <t>=NF($H91,"Unit Fees")</t>
  </si>
  <si>
    <t>=NF($H20,"No.")</t>
  </si>
  <si>
    <t>=NF($H20,"Quantity on Hand")</t>
  </si>
  <si>
    <t>=NF($H20,"Qty. on Sales Order")</t>
  </si>
  <si>
    <t>=NF($H20,"Allocation Quantity (Base)")</t>
  </si>
  <si>
    <t>=NF($H20,"Description")</t>
  </si>
  <si>
    <t>=NF($H20,"Pack Size")</t>
  </si>
  <si>
    <t>=NF($H20,"FBC Package Type Code")</t>
  </si>
  <si>
    <t>=NF($H20,"FBC Storage Requirement Code")</t>
  </si>
  <si>
    <t>=NF($H20,"Inventory Posting Group")</t>
  </si>
  <si>
    <t>=NF($H20,"Gross Weight")</t>
  </si>
  <si>
    <t>=NF($H20,"Unit Fees")</t>
  </si>
  <si>
    <t>="""Ceres 5 "",""SHNLFB - Duluth - LIVE"",""27"",""1"",""10699"""</t>
  </si>
  <si>
    <t>=IF(N55=0,"hide","")</t>
  </si>
  <si>
    <t>=F54</t>
  </si>
  <si>
    <t>="""Ceres 5 "",""SHNLFB - Duluth - LIVE"",""27"",""1"",""11422"""</t>
  </si>
  <si>
    <t>=IFERROR(K55-L55-M55," ")</t>
  </si>
  <si>
    <t>=IFERROR($U55*$J55," ")</t>
  </si>
  <si>
    <t>=IF(N56=0,"hide","")</t>
  </si>
  <si>
    <t>=F55</t>
  </si>
  <si>
    <t>=IFERROR(K56-L56-M56," ")</t>
  </si>
  <si>
    <t>=IFERROR($U56*$J56," ")</t>
  </si>
  <si>
    <t>="""Ceres 5 "",""SHNLFB - Duluth - LIVE"",""27"",""1"",""11966"""</t>
  </si>
  <si>
    <t>=IF(N79=0,"hide","")</t>
  </si>
  <si>
    <t>=F78</t>
  </si>
  <si>
    <t>=IFERROR(K79-L79-M79," ")</t>
  </si>
  <si>
    <t>=IFERROR($U79*$J79," ")</t>
  </si>
  <si>
    <t>=IF(N80=0,"hide","")</t>
  </si>
  <si>
    <t>=F79</t>
  </si>
  <si>
    <t>=IFERROR(K80-L80-M80," ")</t>
  </si>
  <si>
    <t>=IFERROR($U80*$J80," ")</t>
  </si>
  <si>
    <t>="""Ceres 5 "",""SHNLFB - Duluth - LIVE"",""27"",""1"",""11832"""</t>
  </si>
  <si>
    <t>="""Ceres 5 "",""SHNLFB - Duluth - LIVE"",""27"",""1"",""11448"""</t>
  </si>
  <si>
    <t>=NF($H79,"No.")</t>
  </si>
  <si>
    <t>=NF($H80,"No.")</t>
  </si>
  <si>
    <t>=NF($H79,"Quantity on Hand")</t>
  </si>
  <si>
    <t>=NF($H80,"Quantity on Hand")</t>
  </si>
  <si>
    <t>=NF($H79,"Qty. on Sales Order")</t>
  </si>
  <si>
    <t>=NF($H80,"Qty. on Sales Order")</t>
  </si>
  <si>
    <t>=NF($H79,"Allocation Quantity (Base)")</t>
  </si>
  <si>
    <t>=NF($H80,"Allocation Quantity (Base)")</t>
  </si>
  <si>
    <t>=NF($H79,"Description")</t>
  </si>
  <si>
    <t>=NF($H80,"Description")</t>
  </si>
  <si>
    <t>=NF($H79,"Pack Size")</t>
  </si>
  <si>
    <t>=NF($H80,"Pack Size")</t>
  </si>
  <si>
    <t>=NF($H79,"FBC Package Type Code")</t>
  </si>
  <si>
    <t>=NF($H80,"FBC Package Type Code")</t>
  </si>
  <si>
    <t>=NF($H79,"FBC Storage Requirement Code")</t>
  </si>
  <si>
    <t>=NF($H80,"FBC Storage Requirement Code")</t>
  </si>
  <si>
    <t>=NF($H79,"Inventory Posting Group")</t>
  </si>
  <si>
    <t>=NF($H80,"Inventory Posting Group")</t>
  </si>
  <si>
    <t>=NF($H79,"Gross Weight")</t>
  </si>
  <si>
    <t>=NF($H80,"Gross Weight")</t>
  </si>
  <si>
    <t>=NF($H79,"Unit Fees")</t>
  </si>
  <si>
    <t>=NF($H80,"Unit Fees")</t>
  </si>
  <si>
    <t>=NF($H55,"No.")</t>
  </si>
  <si>
    <t>=NF($H56,"No.")</t>
  </si>
  <si>
    <t>=NF($H55,"Quantity on Hand")</t>
  </si>
  <si>
    <t>=NF($H56,"Quantity on Hand")</t>
  </si>
  <si>
    <t>=NF($H55,"Qty. on Sales Order")</t>
  </si>
  <si>
    <t>=NF($H56,"Qty. on Sales Order")</t>
  </si>
  <si>
    <t>=NF($H55,"Allocation Quantity (Base)")</t>
  </si>
  <si>
    <t>=NF($H56,"Allocation Quantity (Base)")</t>
  </si>
  <si>
    <t>=NF($H55,"Description")</t>
  </si>
  <si>
    <t>=NF($H56,"Description")</t>
  </si>
  <si>
    <t>=NF($H55,"Pack Size")</t>
  </si>
  <si>
    <t>=NF($H56,"Pack Size")</t>
  </si>
  <si>
    <t>=NF($H55,"FBC Package Type Code")</t>
  </si>
  <si>
    <t>=NF($H56,"FBC Package Type Code")</t>
  </si>
  <si>
    <t>=NF($H55,"FBC Storage Requirement Code")</t>
  </si>
  <si>
    <t>=NF($H56,"FBC Storage Requirement Code")</t>
  </si>
  <si>
    <t>=NF($H55,"Inventory Posting Group")</t>
  </si>
  <si>
    <t>=NF($H56,"Inventory Posting Group")</t>
  </si>
  <si>
    <t>=NF($H55,"Gross Weight")</t>
  </si>
  <si>
    <t>=NF($H56,"Gross Weight")</t>
  </si>
  <si>
    <t>=NF($H55,"Unit Fees")</t>
  </si>
  <si>
    <t>=NF($H56,"Unit Fees")</t>
  </si>
  <si>
    <t>="""Ceres 5 "",""SHNLFB - Duluth - LIVE"",""27"",""1"",""10710"""</t>
  </si>
  <si>
    <t>="""Ceres 5 "",""SHNLFB - Duluth - LIVE"",""27"",""1"",""11561"""</t>
  </si>
  <si>
    <t>="""Ceres 5 "",""SHNLFB - Duluth - LIVE"",""27"",""1"",""10885"""</t>
  </si>
  <si>
    <t>="""Ceres 5 "",""SHNLFB - Duluth - LIVE"",""27"",""1"",""10897"""</t>
  </si>
  <si>
    <t>="""Ceres 5 "",""SHNLFB - Duluth - LIVE"",""27"",""1"",""13633"""</t>
  </si>
  <si>
    <t>="""Ceres 5 "",""SHNLFB - Duluth - LIVE"",""27"",""1"",""10746"""</t>
  </si>
  <si>
    <t>="08"</t>
  </si>
  <si>
    <t>=IF(N215=0,"hide","")</t>
  </si>
  <si>
    <t>=F214</t>
  </si>
  <si>
    <t>=IFERROR(K215-L215-M215," ")</t>
  </si>
  <si>
    <t>=IFERROR($U215*$J215," ")</t>
  </si>
  <si>
    <t>=IF(N216=0,"hide","")</t>
  </si>
  <si>
    <t>=F215</t>
  </si>
  <si>
    <t>=IFERROR(K216-L216-M216," ")</t>
  </si>
  <si>
    <t>=IFERROR($U216*$J216," ")</t>
  </si>
  <si>
    <t>="""Ceres 5 "",""SHNLFB - Duluth - LIVE"",""27"",""1"",""12027"""</t>
  </si>
  <si>
    <t>="""Ceres 5 "",""SHNLFB - Duluth - LIVE"",""27"",""1"",""11552"""</t>
  </si>
  <si>
    <t>="""Ceres 5 "",""SHNLFB - Duluth - LIVE"",""27"",""1"",""11654"""</t>
  </si>
  <si>
    <t>=NF($H215,"No.")</t>
  </si>
  <si>
    <t>=NF($H216,"No.")</t>
  </si>
  <si>
    <t>=NF($H215,"Quantity on Hand")</t>
  </si>
  <si>
    <t>=NF($H216,"Quantity on Hand")</t>
  </si>
  <si>
    <t>=NF($H215,"Qty. on Sales Order")</t>
  </si>
  <si>
    <t>=NF($H216,"Qty. on Sales Order")</t>
  </si>
  <si>
    <t>=NF($H215,"Allocation Quantity (Base)")</t>
  </si>
  <si>
    <t>=NF($H216,"Allocation Quantity (Base)")</t>
  </si>
  <si>
    <t>=NF($H215,"Description")</t>
  </si>
  <si>
    <t>=NF($H216,"Description")</t>
  </si>
  <si>
    <t>=NF($H215,"Pack Size")</t>
  </si>
  <si>
    <t>=NF($H216,"Pack Size")</t>
  </si>
  <si>
    <t>=NF($H215,"FBC Package Type Code")</t>
  </si>
  <si>
    <t>=NF($H216,"FBC Package Type Code")</t>
  </si>
  <si>
    <t>=NF($H215,"FBC Storage Requirement Code")</t>
  </si>
  <si>
    <t>=NF($H216,"FBC Storage Requirement Code")</t>
  </si>
  <si>
    <t>=NF($H215,"Inventory Posting Group")</t>
  </si>
  <si>
    <t>=NF($H216,"Inventory Posting Group")</t>
  </si>
  <si>
    <t>=NF($H215,"Gross Weight")</t>
  </si>
  <si>
    <t>=NF($H216,"Gross Weight")</t>
  </si>
  <si>
    <t>=NF($H215,"Unit Fees")</t>
  </si>
  <si>
    <t>=NF($H216,"Unit Fees")</t>
  </si>
  <si>
    <t>=IF(N152=0,"hide","")</t>
  </si>
  <si>
    <t>=F151</t>
  </si>
  <si>
    <t>=NF($H152,"No.")</t>
  </si>
  <si>
    <t>=NF($H152,"Quantity on Hand")</t>
  </si>
  <si>
    <t>=NF($H152,"Qty. on Sales Order")</t>
  </si>
  <si>
    <t>=NF($H152,"Allocation Quantity (Base)")</t>
  </si>
  <si>
    <t>=IFERROR(K152-L152-M152," ")</t>
  </si>
  <si>
    <t>=NF($H152,"Description")</t>
  </si>
  <si>
    <t>=NF($H152,"Pack Size")</t>
  </si>
  <si>
    <t>=NF($H152,"FBC Package Type Code")</t>
  </si>
  <si>
    <t>=NF($H152,"FBC Storage Requirement Code")</t>
  </si>
  <si>
    <t>=NF($H152,"Inventory Posting Group")</t>
  </si>
  <si>
    <t>=NF($H152,"Gross Weight")</t>
  </si>
  <si>
    <t>=NF($H152,"Unit Fees")</t>
  </si>
  <si>
    <t>=IFERROR($U152*$J152," ")</t>
  </si>
  <si>
    <t>=IF(N41=0,"hide","")</t>
  </si>
  <si>
    <t>=F40</t>
  </si>
  <si>
    <t>=IFERROR(K41-L41-M41," ")</t>
  </si>
  <si>
    <t>=IFERROR($U41*$J41," ")</t>
  </si>
  <si>
    <t>=IF(N50=0,"hide","")</t>
  </si>
  <si>
    <t>=F49</t>
  </si>
  <si>
    <t>=IFERROR(K50-L50-M50," ")</t>
  </si>
  <si>
    <t>=IFERROR($U50*$J50," ")</t>
  </si>
  <si>
    <t>=IF(N51=0,"hide","")</t>
  </si>
  <si>
    <t>=F50</t>
  </si>
  <si>
    <t>=IFERROR(K51-L51-M51," ")</t>
  </si>
  <si>
    <t>=IFERROR($U51*$J51," ")</t>
  </si>
  <si>
    <t>=IF(N73=0,"hide","")</t>
  </si>
  <si>
    <t>=F72</t>
  </si>
  <si>
    <t>=IFERROR(K73-L73-M73," ")</t>
  </si>
  <si>
    <t>=IFERROR($U73*$J73," ")</t>
  </si>
  <si>
    <t>=IF(N74=0,"hide","")</t>
  </si>
  <si>
    <t>=F73</t>
  </si>
  <si>
    <t>=IFERROR(K74-L74-M74," ")</t>
  </si>
  <si>
    <t>=IFERROR($U74*$J74," ")</t>
  </si>
  <si>
    <t>=IF(N192=0,"hide","")</t>
  </si>
  <si>
    <t>=F191</t>
  </si>
  <si>
    <t>=IFERROR(K192-L192-M192," ")</t>
  </si>
  <si>
    <t>=IFERROR($U192*$J192," ")</t>
  </si>
  <si>
    <t>=NF($H192,"No.")</t>
  </si>
  <si>
    <t>=NF($H192,"Quantity on Hand")</t>
  </si>
  <si>
    <t>=NF($H192,"Qty. on Sales Order")</t>
  </si>
  <si>
    <t>=NF($H192,"Allocation Quantity (Base)")</t>
  </si>
  <si>
    <t>=NF($H192,"Description")</t>
  </si>
  <si>
    <t>=NF($H192,"Pack Size")</t>
  </si>
  <si>
    <t>=NF($H192,"FBC Package Type Code")</t>
  </si>
  <si>
    <t>=NF($H192,"FBC Storage Requirement Code")</t>
  </si>
  <si>
    <t>=NF($H192,"Inventory Posting Group")</t>
  </si>
  <si>
    <t>=NF($H192,"Gross Weight")</t>
  </si>
  <si>
    <t>=NF($H192,"Unit Fees")</t>
  </si>
  <si>
    <t>=NF($H73,"No.")</t>
  </si>
  <si>
    <t>=NF($H74,"No.")</t>
  </si>
  <si>
    <t>=NF($H73,"Quantity on Hand")</t>
  </si>
  <si>
    <t>=NF($H74,"Quantity on Hand")</t>
  </si>
  <si>
    <t>=NF($H73,"Qty. on Sales Order")</t>
  </si>
  <si>
    <t>=NF($H74,"Qty. on Sales Order")</t>
  </si>
  <si>
    <t>=NF($H73,"Allocation Quantity (Base)")</t>
  </si>
  <si>
    <t>=NF($H74,"Allocation Quantity (Base)")</t>
  </si>
  <si>
    <t>=NF($H73,"Description")</t>
  </si>
  <si>
    <t>=NF($H74,"Description")</t>
  </si>
  <si>
    <t>=NF($H73,"Pack Size")</t>
  </si>
  <si>
    <t>=NF($H74,"Pack Size")</t>
  </si>
  <si>
    <t>=NF($H73,"FBC Package Type Code")</t>
  </si>
  <si>
    <t>=NF($H74,"FBC Package Type Code")</t>
  </si>
  <si>
    <t>=NF($H73,"FBC Storage Requirement Code")</t>
  </si>
  <si>
    <t>=NF($H74,"FBC Storage Requirement Code")</t>
  </si>
  <si>
    <t>=NF($H73,"Inventory Posting Group")</t>
  </si>
  <si>
    <t>=NF($H74,"Inventory Posting Group")</t>
  </si>
  <si>
    <t>=NF($H73,"Gross Weight")</t>
  </si>
  <si>
    <t>=NF($H74,"Gross Weight")</t>
  </si>
  <si>
    <t>=NF($H73,"Unit Fees")</t>
  </si>
  <si>
    <t>=NF($H74,"Unit Fees")</t>
  </si>
  <si>
    <t>=NF($H50,"No.")</t>
  </si>
  <si>
    <t>=NF($H51,"No.")</t>
  </si>
  <si>
    <t>=NF($H50,"Quantity on Hand")</t>
  </si>
  <si>
    <t>=NF($H51,"Quantity on Hand")</t>
  </si>
  <si>
    <t>=NF($H50,"Qty. on Sales Order")</t>
  </si>
  <si>
    <t>=NF($H51,"Qty. on Sales Order")</t>
  </si>
  <si>
    <t>=NF($H50,"Allocation Quantity (Base)")</t>
  </si>
  <si>
    <t>=NF($H51,"Allocation Quantity (Base)")</t>
  </si>
  <si>
    <t>=NF($H50,"Description")</t>
  </si>
  <si>
    <t>=NF($H51,"Description")</t>
  </si>
  <si>
    <t>=NF($H50,"Pack Size")</t>
  </si>
  <si>
    <t>=NF($H51,"Pack Size")</t>
  </si>
  <si>
    <t>=NF($H50,"FBC Package Type Code")</t>
  </si>
  <si>
    <t>=NF($H51,"FBC Package Type Code")</t>
  </si>
  <si>
    <t>=NF($H50,"FBC Storage Requirement Code")</t>
  </si>
  <si>
    <t>=NF($H51,"FBC Storage Requirement Code")</t>
  </si>
  <si>
    <t>=NF($H50,"Inventory Posting Group")</t>
  </si>
  <si>
    <t>=NF($H51,"Inventory Posting Group")</t>
  </si>
  <si>
    <t>=NF($H50,"Gross Weight")</t>
  </si>
  <si>
    <t>=NF($H51,"Gross Weight")</t>
  </si>
  <si>
    <t>=NF($H50,"Unit Fees")</t>
  </si>
  <si>
    <t>=NF($H51,"Unit Fees")</t>
  </si>
  <si>
    <t>=NF($H41,"No.")</t>
  </si>
  <si>
    <t>=NF($H41,"Quantity on Hand")</t>
  </si>
  <si>
    <t>=NF($H41,"Qty. on Sales Order")</t>
  </si>
  <si>
    <t>=NF($H41,"Allocation Quantity (Base)")</t>
  </si>
  <si>
    <t>=NF($H41,"Description")</t>
  </si>
  <si>
    <t>=NF($H41,"Pack Size")</t>
  </si>
  <si>
    <t>=NF($H41,"FBC Package Type Code")</t>
  </si>
  <si>
    <t>=NF($H41,"FBC Storage Requirement Code")</t>
  </si>
  <si>
    <t>=NF($H41,"Inventory Posting Group")</t>
  </si>
  <si>
    <t>=NF($H41,"Gross Weight")</t>
  </si>
  <si>
    <t>=NF($H41,"Unit Fees")</t>
  </si>
  <si>
    <t>=IF(N49=0,"hide","")</t>
  </si>
  <si>
    <t>=F48</t>
  </si>
  <si>
    <t>=IFERROR(K49-L49-M49," ")</t>
  </si>
  <si>
    <t>=IFERROR($U49*$J49," ")</t>
  </si>
  <si>
    <t>=IF(N68=0,"hide","")</t>
  </si>
  <si>
    <t>=F67</t>
  </si>
  <si>
    <t>=IFERROR(K68-L68-M68," ")</t>
  </si>
  <si>
    <t>=IFERROR($U68*$J68," ")</t>
  </si>
  <si>
    <t>=NF($H68,"No.")</t>
  </si>
  <si>
    <t>=NF($H68,"Quantity on Hand")</t>
  </si>
  <si>
    <t>=NF($H68,"Qty. on Sales Order")</t>
  </si>
  <si>
    <t>=NF($H68,"Allocation Quantity (Base)")</t>
  </si>
  <si>
    <t>=NF($H68,"Description")</t>
  </si>
  <si>
    <t>=NF($H68,"Pack Size")</t>
  </si>
  <si>
    <t>=NF($H68,"FBC Package Type Code")</t>
  </si>
  <si>
    <t>=NF($H68,"FBC Storage Requirement Code")</t>
  </si>
  <si>
    <t>=NF($H68,"Inventory Posting Group")</t>
  </si>
  <si>
    <t>=NF($H68,"Gross Weight")</t>
  </si>
  <si>
    <t>=NF($H68,"Unit Fees")</t>
  </si>
  <si>
    <t>=NF($H49,"No.")</t>
  </si>
  <si>
    <t>=NF($H49,"Quantity on Hand")</t>
  </si>
  <si>
    <t>=NF($H49,"Qty. on Sales Order")</t>
  </si>
  <si>
    <t>=NF($H49,"Allocation Quantity (Base)")</t>
  </si>
  <si>
    <t>=NF($H49,"Description")</t>
  </si>
  <si>
    <t>=NF($H49,"Pack Size")</t>
  </si>
  <si>
    <t>=NF($H49,"FBC Package Type Code")</t>
  </si>
  <si>
    <t>=NF($H49,"FBC Storage Requirement Code")</t>
  </si>
  <si>
    <t>=NF($H49,"Inventory Posting Group")</t>
  </si>
  <si>
    <t>=NF($H49,"Gross Weight")</t>
  </si>
  <si>
    <t>=NF($H49,"Unit Fees")</t>
  </si>
  <si>
    <t>="""Ceres 5 "",""SHNLFB - Duluth - LIVE"",""27"",""1"",""12184"""</t>
  </si>
  <si>
    <t>=IF(N66=0,"hide","")</t>
  </si>
  <si>
    <t>=F65</t>
  </si>
  <si>
    <t>=IFERROR(K66-L66-M66," ")</t>
  </si>
  <si>
    <t>=IFERROR($U66*$J66," ")</t>
  </si>
  <si>
    <t>=IF(N67=0,"hide","")</t>
  </si>
  <si>
    <t>=F66</t>
  </si>
  <si>
    <t>=IFERROR(K67-L67-M67," ")</t>
  </si>
  <si>
    <t>=IFERROR($U67*$J67," ")</t>
  </si>
  <si>
    <t>="""Ceres 5 "",""SHNLFB - Duluth - LIVE"",""27"",""1"",""13636"""</t>
  </si>
  <si>
    <t>="""Ceres 5 "",""SHNLFB - Duluth - LIVE"",""27"",""1"",""12511"""</t>
  </si>
  <si>
    <t>="""Ceres 5 "",""SHNLFB - Duluth - LIVE"",""27"",""1"",""13006"""</t>
  </si>
  <si>
    <t>="""Ceres 5 "",""SHNLFB - Duluth - LIVE"",""27"",""1"",""12510"""</t>
  </si>
  <si>
    <t>="""Ceres 5 "",""SHNLFB - Duluth - LIVE"",""27"",""1"",""12885"""</t>
  </si>
  <si>
    <t>="""Ceres 5 "",""SHNLFB - Duluth - LIVE"",""27"",""1"",""12276"""</t>
  </si>
  <si>
    <t>="""Ceres 5 "",""SHNLFB - Duluth - LIVE"",""27"",""1"",""13640"""</t>
  </si>
  <si>
    <t>=IF(N153=0,"hide","")</t>
  </si>
  <si>
    <t>=F152</t>
  </si>
  <si>
    <t>=IFERROR(K153-L153-M153," ")</t>
  </si>
  <si>
    <t>=IFERROR($U153*$J153," ")</t>
  </si>
  <si>
    <t>="17"</t>
  </si>
  <si>
    <t>="""Ceres 5 "",""SHNLFB - Duluth - LIVE"",""27"",""1"",""11703"""</t>
  </si>
  <si>
    <t>="""Ceres 5 "",""SHNLFB - Duluth - LIVE"",""27"",""1"",""11932"""</t>
  </si>
  <si>
    <t>=IF(N223=0,"hide","")</t>
  </si>
  <si>
    <t>=F222</t>
  </si>
  <si>
    <t>=IFERROR(K223-L223-M223," ")</t>
  </si>
  <si>
    <t>=IFERROR($U223*$J223," ")</t>
  </si>
  <si>
    <t>="""Ceres 5 "",""SHNLFB - Duluth - LIVE"",""27"",""1"",""10810"""</t>
  </si>
  <si>
    <t>=NF($H223,"No.")</t>
  </si>
  <si>
    <t>=NF($H223,"Quantity on Hand")</t>
  </si>
  <si>
    <t>=NF($H223,"Qty. on Sales Order")</t>
  </si>
  <si>
    <t>=NF($H223,"Allocation Quantity (Base)")</t>
  </si>
  <si>
    <t>=NF($H223,"Description")</t>
  </si>
  <si>
    <t>=NF($H223,"Pack Size")</t>
  </si>
  <si>
    <t>=NF($H223,"FBC Package Type Code")</t>
  </si>
  <si>
    <t>=NF($H223,"FBC Storage Requirement Code")</t>
  </si>
  <si>
    <t>=NF($H223,"Inventory Posting Group")</t>
  </si>
  <si>
    <t>=NF($H223,"Gross Weight")</t>
  </si>
  <si>
    <t>=NF($H223,"Unit Fees")</t>
  </si>
  <si>
    <t>=NF($H153,"No.")</t>
  </si>
  <si>
    <t>=NF($H153,"Quantity on Hand")</t>
  </si>
  <si>
    <t>=NF($H153,"Qty. on Sales Order")</t>
  </si>
  <si>
    <t>=NF($H153,"Allocation Quantity (Base)")</t>
  </si>
  <si>
    <t>=NF($H153,"Description")</t>
  </si>
  <si>
    <t>=NF($H153,"Pack Size")</t>
  </si>
  <si>
    <t>=NF($H153,"FBC Package Type Code")</t>
  </si>
  <si>
    <t>=NF($H153,"FBC Storage Requirement Code")</t>
  </si>
  <si>
    <t>=NF($H153,"Inventory Posting Group")</t>
  </si>
  <si>
    <t>=NF($H153,"Gross Weight")</t>
  </si>
  <si>
    <t>=NF($H153,"Unit Fees")</t>
  </si>
  <si>
    <t>=NF($H66,"No.")</t>
  </si>
  <si>
    <t>=NF($H67,"No.")</t>
  </si>
  <si>
    <t>=NF($H66,"Quantity on Hand")</t>
  </si>
  <si>
    <t>=NF($H67,"Quantity on Hand")</t>
  </si>
  <si>
    <t>=NF($H66,"Qty. on Sales Order")</t>
  </si>
  <si>
    <t>=NF($H67,"Qty. on Sales Order")</t>
  </si>
  <si>
    <t>=NF($H66,"Allocation Quantity (Base)")</t>
  </si>
  <si>
    <t>=NF($H67,"Allocation Quantity (Base)")</t>
  </si>
  <si>
    <t>=NF($H66,"Description")</t>
  </si>
  <si>
    <t>=NF($H67,"Description")</t>
  </si>
  <si>
    <t>=NF($H66,"Pack Size")</t>
  </si>
  <si>
    <t>=NF($H67,"Pack Size")</t>
  </si>
  <si>
    <t>=NF($H66,"FBC Package Type Code")</t>
  </si>
  <si>
    <t>=NF($H67,"FBC Package Type Code")</t>
  </si>
  <si>
    <t>=NF($H66,"FBC Storage Requirement Code")</t>
  </si>
  <si>
    <t>=NF($H67,"FBC Storage Requirement Code")</t>
  </si>
  <si>
    <t>=NF($H66,"Inventory Posting Group")</t>
  </si>
  <si>
    <t>=NF($H67,"Inventory Posting Group")</t>
  </si>
  <si>
    <t>=NF($H66,"Gross Weight")</t>
  </si>
  <si>
    <t>=NF($H67,"Gross Weight")</t>
  </si>
  <si>
    <t>=NF($H66,"Unit Fees")</t>
  </si>
  <si>
    <t>=NF($H67,"Unit Fees")</t>
  </si>
  <si>
    <t>=IF(N48=0,"hide","")</t>
  </si>
  <si>
    <t>=F47</t>
  </si>
  <si>
    <t>=IFERROR(K48-L48-M48," ")</t>
  </si>
  <si>
    <t>=IFERROR($U48*$J48," ")</t>
  </si>
  <si>
    <t>="""Ceres 5 "",""SHNLFB - Duluth - LIVE"",""27"",""1"",""12733"""</t>
  </si>
  <si>
    <t>="""Ceres 5 "",""SHNLFB - Duluth - LIVE"",""27"",""1"",""10791"""</t>
  </si>
  <si>
    <t>=IF(N119=0,"hide","")</t>
  </si>
  <si>
    <t>=F118</t>
  </si>
  <si>
    <t>=IFERROR(K119-L119-M119," ")</t>
  </si>
  <si>
    <t>=IFERROR($U119*$J119," ")</t>
  </si>
  <si>
    <t>=IF(N124=0,"hide","")</t>
  </si>
  <si>
    <t>=F123</t>
  </si>
  <si>
    <t>=IFERROR(K124-L124-M124," ")</t>
  </si>
  <si>
    <t>=IFERROR($U124*$J124," ")</t>
  </si>
  <si>
    <t>="22"</t>
  </si>
  <si>
    <t>="""Ceres 5 "",""SHNLFB - Duluth - LIVE"",""27"",""1"",""13639"""</t>
  </si>
  <si>
    <t>=IF(N209=0,"hide","")</t>
  </si>
  <si>
    <t>=F208</t>
  </si>
  <si>
    <t>=IFERROR(K209-L209-M209," ")</t>
  </si>
  <si>
    <t>=IFERROR($U209*$J209," ")</t>
  </si>
  <si>
    <t>=IF(N210=0,"hide","")</t>
  </si>
  <si>
    <t>=F209</t>
  </si>
  <si>
    <t>=IFERROR(K210-L210-M210," ")</t>
  </si>
  <si>
    <t>=IFERROR($U210*$J210," ")</t>
  </si>
  <si>
    <t>="""Ceres 5 "",""SHNLFB - Duluth - LIVE"",""27"",""1"",""10700"""</t>
  </si>
  <si>
    <t>="""Ceres 5 "",""SHNLFB - Duluth - LIVE"",""27"",""1"",""11352"""</t>
  </si>
  <si>
    <t>=NF($H209,"No.")</t>
  </si>
  <si>
    <t>=NF($H210,"No.")</t>
  </si>
  <si>
    <t>=NF($H209,"Quantity on Hand")</t>
  </si>
  <si>
    <t>=NF($H210,"Quantity on Hand")</t>
  </si>
  <si>
    <t>=NF($H209,"Qty. on Sales Order")</t>
  </si>
  <si>
    <t>=NF($H210,"Qty. on Sales Order")</t>
  </si>
  <si>
    <t>=NF($H209,"Allocation Quantity (Base)")</t>
  </si>
  <si>
    <t>=NF($H210,"Allocation Quantity (Base)")</t>
  </si>
  <si>
    <t>=NF($H209,"Description")</t>
  </si>
  <si>
    <t>=NF($H210,"Description")</t>
  </si>
  <si>
    <t>=NF($H209,"Pack Size")</t>
  </si>
  <si>
    <t>=NF($H210,"Pack Size")</t>
  </si>
  <si>
    <t>=NF($H209,"FBC Package Type Code")</t>
  </si>
  <si>
    <t>=NF($H210,"FBC Package Type Code")</t>
  </si>
  <si>
    <t>=NF($H209,"FBC Storage Requirement Code")</t>
  </si>
  <si>
    <t>=NF($H210,"FBC Storage Requirement Code")</t>
  </si>
  <si>
    <t>=NF($H209,"Inventory Posting Group")</t>
  </si>
  <si>
    <t>=NF($H210,"Inventory Posting Group")</t>
  </si>
  <si>
    <t>=NF($H209,"Gross Weight")</t>
  </si>
  <si>
    <t>=NF($H210,"Gross Weight")</t>
  </si>
  <si>
    <t>=NF($H209,"Unit Fees")</t>
  </si>
  <si>
    <t>=NF($H210,"Unit Fees")</t>
  </si>
  <si>
    <t>=NF($H124,"No.")</t>
  </si>
  <si>
    <t>=NF($H124,"Quantity on Hand")</t>
  </si>
  <si>
    <t>=NF($H124,"Qty. on Sales Order")</t>
  </si>
  <si>
    <t>=NF($H124,"Allocation Quantity (Base)")</t>
  </si>
  <si>
    <t>=NF($H124,"Description")</t>
  </si>
  <si>
    <t>=NF($H124,"Pack Size")</t>
  </si>
  <si>
    <t>=NF($H124,"FBC Package Type Code")</t>
  </si>
  <si>
    <t>=NF($H124,"FBC Storage Requirement Code")</t>
  </si>
  <si>
    <t>=NF($H124,"Inventory Posting Group")</t>
  </si>
  <si>
    <t>=NF($H124,"Gross Weight")</t>
  </si>
  <si>
    <t>=NF($H124,"Unit Fees")</t>
  </si>
  <si>
    <t>=NF($H119,"No.")</t>
  </si>
  <si>
    <t>=NF($H119,"Quantity on Hand")</t>
  </si>
  <si>
    <t>=NF($H119,"Qty. on Sales Order")</t>
  </si>
  <si>
    <t>=NF($H119,"Allocation Quantity (Base)")</t>
  </si>
  <si>
    <t>=NF($H119,"Description")</t>
  </si>
  <si>
    <t>=NF($H119,"Pack Size")</t>
  </si>
  <si>
    <t>=NF($H119,"FBC Package Type Code")</t>
  </si>
  <si>
    <t>=NF($H119,"FBC Storage Requirement Code")</t>
  </si>
  <si>
    <t>=NF($H119,"Inventory Posting Group")</t>
  </si>
  <si>
    <t>=NF($H119,"Gross Weight")</t>
  </si>
  <si>
    <t>=NF($H119,"Unit Fees")</t>
  </si>
  <si>
    <t>=NF($H48,"No.")</t>
  </si>
  <si>
    <t>=NF($H48,"Quantity on Hand")</t>
  </si>
  <si>
    <t>=NF($H48,"Qty. on Sales Order")</t>
  </si>
  <si>
    <t>=NF($H48,"Allocation Quantity (Base)")</t>
  </si>
  <si>
    <t>=NF($H48,"Description")</t>
  </si>
  <si>
    <t>=NF($H48,"Pack Size")</t>
  </si>
  <si>
    <t>=NF($H48,"FBC Package Type Code")</t>
  </si>
  <si>
    <t>=NF($H48,"FBC Storage Requirement Code")</t>
  </si>
  <si>
    <t>=NF($H48,"Inventory Posting Group")</t>
  </si>
  <si>
    <t>=NF($H48,"Gross Weight")</t>
  </si>
  <si>
    <t>=NF($H48,"Unit Fees")</t>
  </si>
  <si>
    <t>="""Ceres 5 "",""SHNLFB - Duluth - LIVE"",""27"",""1"",""11417"""</t>
  </si>
  <si>
    <t>=IF(N47=0,"hide","")</t>
  </si>
  <si>
    <t>=F46</t>
  </si>
  <si>
    <t>=IFERROR(K47-L47-M47," ")</t>
  </si>
  <si>
    <t>=IFERROR($U47*$J47," ")</t>
  </si>
  <si>
    <t>="""Ceres 5 "",""SHNLFB - Duluth - LIVE"",""27"",""1"",""12851"""</t>
  </si>
  <si>
    <t>=IF(N69=0,"hide","")</t>
  </si>
  <si>
    <t>=F68</t>
  </si>
  <si>
    <t>=IFERROR(K69-L69-M69," ")</t>
  </si>
  <si>
    <t>=IFERROR($U69*$J69," ")</t>
  </si>
  <si>
    <t>=IF(N70=0,"hide","")</t>
  </si>
  <si>
    <t>=F69</t>
  </si>
  <si>
    <t>=IFERROR(K70-L70-M70," ")</t>
  </si>
  <si>
    <t>=IFERROR($U70*$J70," ")</t>
  </si>
  <si>
    <t>="""Ceres 5 "",""SHNLFB - Duluth - LIVE"",""27"",""1"",""12881"""</t>
  </si>
  <si>
    <t>=IF(N106=0,"hide","")</t>
  </si>
  <si>
    <t>=F105</t>
  </si>
  <si>
    <t>=IFERROR(K106-L106-M106," ")</t>
  </si>
  <si>
    <t>=IFERROR($U106*$J106," ")</t>
  </si>
  <si>
    <t>="""Ceres 5 "",""SHNLFB - Duluth - LIVE"",""27"",""1"",""10230"""</t>
  </si>
  <si>
    <t>=IF(N120=0,"hide","")</t>
  </si>
  <si>
    <t>=F119</t>
  </si>
  <si>
    <t>=IFERROR(K120-L120-M120," ")</t>
  </si>
  <si>
    <t>=IFERROR($U120*$J120," ")</t>
  </si>
  <si>
    <t>="""Ceres 5 "",""SHNLFB - Duluth - LIVE"",""27"",""1"",""11078"""</t>
  </si>
  <si>
    <t>=IF(N147=0,"hide","")</t>
  </si>
  <si>
    <t>=F146</t>
  </si>
  <si>
    <t>=IFERROR(K147-L147-M147," ")</t>
  </si>
  <si>
    <t>=IFERROR($U147*$J147," ")</t>
  </si>
  <si>
    <t>=IF(N173=0,"hide","")</t>
  </si>
  <si>
    <t>=F172</t>
  </si>
  <si>
    <t>=IFERROR(K173-L173-M173," ")</t>
  </si>
  <si>
    <t>=IFERROR($U173*$J173," ")</t>
  </si>
  <si>
    <t>=IF(N186=0,"hide","")</t>
  </si>
  <si>
    <t>=F185</t>
  </si>
  <si>
    <t>=IFERROR(K186-L186-M186," ")</t>
  </si>
  <si>
    <t>=IFERROR($U186*$J186," ")</t>
  </si>
  <si>
    <t>="""Ceres 5 "",""SHNLFB - Duluth - LIVE"",""27"",""1"",""10599"""</t>
  </si>
  <si>
    <t>=IF(N213=0,"hide","")</t>
  </si>
  <si>
    <t>=F212</t>
  </si>
  <si>
    <t>=IFERROR(K213-L213-M213," ")</t>
  </si>
  <si>
    <t>=IFERROR($U213*$J213," ")</t>
  </si>
  <si>
    <t>=IF(N214=0,"hide","")</t>
  </si>
  <si>
    <t>=F213</t>
  </si>
  <si>
    <t>=IFERROR(K214-L214-M214," ")</t>
  </si>
  <si>
    <t>=IFERROR($U214*$J214," ")</t>
  </si>
  <si>
    <t>="""Ceres 5 "",""SHNLFB - Duluth - LIVE"",""27"",""1"",""10366"""</t>
  </si>
  <si>
    <t>="""Ceres 5 "",""SHNLFB - Duluth - LIVE"",""27"",""1"",""13046"""</t>
  </si>
  <si>
    <t>=NF($H213,"No.")</t>
  </si>
  <si>
    <t>=NF($H214,"No.")</t>
  </si>
  <si>
    <t>=NF($H213,"Quantity on Hand")</t>
  </si>
  <si>
    <t>=NF($H214,"Quantity on Hand")</t>
  </si>
  <si>
    <t>=NF($H213,"Qty. on Sales Order")</t>
  </si>
  <si>
    <t>=NF($H214,"Qty. on Sales Order")</t>
  </si>
  <si>
    <t>=NF($H213,"Allocation Quantity (Base)")</t>
  </si>
  <si>
    <t>=NF($H214,"Allocation Quantity (Base)")</t>
  </si>
  <si>
    <t>=NF($H213,"Description")</t>
  </si>
  <si>
    <t>=NF($H214,"Description")</t>
  </si>
  <si>
    <t>=NF($H213,"Pack Size")</t>
  </si>
  <si>
    <t>=NF($H214,"Pack Size")</t>
  </si>
  <si>
    <t>=NF($H213,"FBC Package Type Code")</t>
  </si>
  <si>
    <t>=NF($H214,"FBC Package Type Code")</t>
  </si>
  <si>
    <t>=NF($H213,"FBC Storage Requirement Code")</t>
  </si>
  <si>
    <t>=NF($H214,"FBC Storage Requirement Code")</t>
  </si>
  <si>
    <t>=NF($H213,"Inventory Posting Group")</t>
  </si>
  <si>
    <t>=NF($H214,"Inventory Posting Group")</t>
  </si>
  <si>
    <t>=NF($H213,"Gross Weight")</t>
  </si>
  <si>
    <t>=NF($H214,"Gross Weight")</t>
  </si>
  <si>
    <t>=NF($H213,"Unit Fees")</t>
  </si>
  <si>
    <t>=NF($H214,"Unit Fees")</t>
  </si>
  <si>
    <t>=NF($H186,"No.")</t>
  </si>
  <si>
    <t>=NF($H186,"Quantity on Hand")</t>
  </si>
  <si>
    <t>=NF($H186,"Qty. on Sales Order")</t>
  </si>
  <si>
    <t>=NF($H186,"Allocation Quantity (Base)")</t>
  </si>
  <si>
    <t>=NF($H186,"Description")</t>
  </si>
  <si>
    <t>=NF($H186,"Pack Size")</t>
  </si>
  <si>
    <t>=NF($H186,"FBC Package Type Code")</t>
  </si>
  <si>
    <t>=NF($H186,"FBC Storage Requirement Code")</t>
  </si>
  <si>
    <t>=NF($H186,"Inventory Posting Group")</t>
  </si>
  <si>
    <t>=NF($H186,"Gross Weight")</t>
  </si>
  <si>
    <t>=NF($H186,"Unit Fees")</t>
  </si>
  <si>
    <t>=NF($H173,"No.")</t>
  </si>
  <si>
    <t>=NF($H173,"Quantity on Hand")</t>
  </si>
  <si>
    <t>=NF($H173,"Qty. on Sales Order")</t>
  </si>
  <si>
    <t>=NF($H173,"Allocation Quantity (Base)")</t>
  </si>
  <si>
    <t>=NF($H173,"Description")</t>
  </si>
  <si>
    <t>=NF($H173,"Pack Size")</t>
  </si>
  <si>
    <t>=NF($H173,"FBC Package Type Code")</t>
  </si>
  <si>
    <t>=NF($H173,"FBC Storage Requirement Code")</t>
  </si>
  <si>
    <t>=NF($H173,"Inventory Posting Group")</t>
  </si>
  <si>
    <t>=NF($H173,"Gross Weight")</t>
  </si>
  <si>
    <t>=NF($H173,"Unit Fees")</t>
  </si>
  <si>
    <t>=NF($H147,"No.")</t>
  </si>
  <si>
    <t>=NF($H147,"Quantity on Hand")</t>
  </si>
  <si>
    <t>=NF($H147,"Qty. on Sales Order")</t>
  </si>
  <si>
    <t>=NF($H147,"Allocation Quantity (Base)")</t>
  </si>
  <si>
    <t>=NF($H147,"Description")</t>
  </si>
  <si>
    <t>=NF($H147,"Pack Size")</t>
  </si>
  <si>
    <t>=NF($H147,"FBC Package Type Code")</t>
  </si>
  <si>
    <t>=NF($H147,"FBC Storage Requirement Code")</t>
  </si>
  <si>
    <t>=NF($H147,"Inventory Posting Group")</t>
  </si>
  <si>
    <t>=NF($H147,"Gross Weight")</t>
  </si>
  <si>
    <t>=NF($H147,"Unit Fees")</t>
  </si>
  <si>
    <t>=NF($H120,"No.")</t>
  </si>
  <si>
    <t>=NF($H120,"Quantity on Hand")</t>
  </si>
  <si>
    <t>=NF($H120,"Qty. on Sales Order")</t>
  </si>
  <si>
    <t>=NF($H120,"Allocation Quantity (Base)")</t>
  </si>
  <si>
    <t>=NF($H120,"Description")</t>
  </si>
  <si>
    <t>=NF($H120,"Pack Size")</t>
  </si>
  <si>
    <t>=NF($H120,"FBC Package Type Code")</t>
  </si>
  <si>
    <t>=NF($H120,"FBC Storage Requirement Code")</t>
  </si>
  <si>
    <t>=NF($H120,"Inventory Posting Group")</t>
  </si>
  <si>
    <t>=NF($H120,"Gross Weight")</t>
  </si>
  <si>
    <t>=NF($H120,"Unit Fees")</t>
  </si>
  <si>
    <t>=NF($H106,"No.")</t>
  </si>
  <si>
    <t>=NF($H106,"Quantity on Hand")</t>
  </si>
  <si>
    <t>=NF($H106,"Qty. on Sales Order")</t>
  </si>
  <si>
    <t>=NF($H106,"Allocation Quantity (Base)")</t>
  </si>
  <si>
    <t>=NF($H106,"Description")</t>
  </si>
  <si>
    <t>=NF($H106,"Pack Size")</t>
  </si>
  <si>
    <t>=NF($H106,"FBC Package Type Code")</t>
  </si>
  <si>
    <t>=NF($H106,"FBC Storage Requirement Code")</t>
  </si>
  <si>
    <t>=NF($H106,"Inventory Posting Group")</t>
  </si>
  <si>
    <t>=NF($H106,"Gross Weight")</t>
  </si>
  <si>
    <t>=NF($H106,"Unit Fees")</t>
  </si>
  <si>
    <t>=NF($H69,"No.")</t>
  </si>
  <si>
    <t>=NF($H70,"No.")</t>
  </si>
  <si>
    <t>=NF($H69,"Quantity on Hand")</t>
  </si>
  <si>
    <t>=NF($H70,"Quantity on Hand")</t>
  </si>
  <si>
    <t>=NF($H69,"Qty. on Sales Order")</t>
  </si>
  <si>
    <t>=NF($H70,"Qty. on Sales Order")</t>
  </si>
  <si>
    <t>=NF($H69,"Allocation Quantity (Base)")</t>
  </si>
  <si>
    <t>=NF($H70,"Allocation Quantity (Base)")</t>
  </si>
  <si>
    <t>=NF($H69,"Description")</t>
  </si>
  <si>
    <t>=NF($H70,"Description")</t>
  </si>
  <si>
    <t>=NF($H69,"Pack Size")</t>
  </si>
  <si>
    <t>=NF($H70,"Pack Size")</t>
  </si>
  <si>
    <t>=NF($H69,"FBC Package Type Code")</t>
  </si>
  <si>
    <t>=NF($H70,"FBC Package Type Code")</t>
  </si>
  <si>
    <t>=NF($H69,"FBC Storage Requirement Code")</t>
  </si>
  <si>
    <t>=NF($H70,"FBC Storage Requirement Code")</t>
  </si>
  <si>
    <t>=NF($H69,"Inventory Posting Group")</t>
  </si>
  <si>
    <t>=NF($H70,"Inventory Posting Group")</t>
  </si>
  <si>
    <t>=NF($H69,"Gross Weight")</t>
  </si>
  <si>
    <t>=NF($H70,"Gross Weight")</t>
  </si>
  <si>
    <t>=NF($H69,"Unit Fees")</t>
  </si>
  <si>
    <t>=NF($H70,"Unit Fees")</t>
  </si>
  <si>
    <t>=NF($H47,"No.")</t>
  </si>
  <si>
    <t>=NF($H47,"Quantity on Hand")</t>
  </si>
  <si>
    <t>=NF($H47,"Qty. on Sales Order")</t>
  </si>
  <si>
    <t>=NF($H47,"Allocation Quantity (Base)")</t>
  </si>
  <si>
    <t>=NF($H47,"Description")</t>
  </si>
  <si>
    <t>=NF($H47,"Pack Size")</t>
  </si>
  <si>
    <t>=NF($H47,"FBC Package Type Code")</t>
  </si>
  <si>
    <t>=NF($H47,"FBC Storage Requirement Code")</t>
  </si>
  <si>
    <t>=NF($H47,"Inventory Posting Group")</t>
  </si>
  <si>
    <t>=NF($H47,"Gross Weight")</t>
  </si>
  <si>
    <t>=NF($H47,"Unit Fees")</t>
  </si>
  <si>
    <t>="""Ceres 5 "",""SHNLFB - Duluth - LIVE"",""27"",""1"",""10398"""</t>
  </si>
  <si>
    <t>="""Ceres 5 "",""SHNLFB - Duluth - LIVE"",""27"",""1"",""11106"""</t>
  </si>
  <si>
    <t>="""Ceres 5 "",""SHNLFB - Duluth - LIVE"",""27"",""1"",""10978"""</t>
  </si>
  <si>
    <t>="""Ceres 5 "",""SHNLFB - Duluth - LIVE"",""27"",""1"",""11715"""</t>
  </si>
  <si>
    <t>="""Ceres 5 "",""SHNLFB - Duluth - LIVE"",""27"",""1"",""13275"""</t>
  </si>
  <si>
    <t>="""Ceres 5 "",""SHNLFB - Duluth - LIVE"",""27"",""1"",""12235"""</t>
  </si>
  <si>
    <t>="""Ceres 5 "",""SHNLFB - Duluth - LIVE"",""27"",""1"",""11639"""</t>
  </si>
  <si>
    <t>=IF(N205=0,"hide","")</t>
  </si>
  <si>
    <t>=F204</t>
  </si>
  <si>
    <t>=IFERROR(K205-L205-M205," ")</t>
  </si>
  <si>
    <t>=IFERROR($U205*$J205," ")</t>
  </si>
  <si>
    <t>="""Ceres 5 "",""SHNLFB - Duluth - LIVE"",""27"",""1"",""10738"""</t>
  </si>
  <si>
    <t>="29"</t>
  </si>
  <si>
    <t>=NF($H205,"No.")</t>
  </si>
  <si>
    <t>=NF($H205,"Quantity on Hand")</t>
  </si>
  <si>
    <t>=NF($H205,"Qty. on Sales Order")</t>
  </si>
  <si>
    <t>=NF($H205,"Allocation Quantity (Base)")</t>
  </si>
  <si>
    <t>=NF($H205,"Description")</t>
  </si>
  <si>
    <t>=NF($H205,"Pack Size")</t>
  </si>
  <si>
    <t>=NF($H205,"FBC Package Type Code")</t>
  </si>
  <si>
    <t>=NF($H205,"FBC Storage Requirement Code")</t>
  </si>
  <si>
    <t>=NF($H205,"Inventory Posting Group")</t>
  </si>
  <si>
    <t>=NF($H205,"Gross Weight")</t>
  </si>
  <si>
    <t>=NF($H205,"Unit Fees")</t>
  </si>
  <si>
    <t>=IF(N39=0,"hide","")</t>
  </si>
  <si>
    <t>=F38</t>
  </si>
  <si>
    <t>=IFERROR(K39-L39-M39," ")</t>
  </si>
  <si>
    <t>=IFERROR($U39*$J39," ")</t>
  </si>
  <si>
    <t>=IF(N40=0,"hide","")</t>
  </si>
  <si>
    <t>=F39</t>
  </si>
  <si>
    <t>=IFERROR(K40-L40-M40," ")</t>
  </si>
  <si>
    <t>=IFERROR($U40*$J40," ")</t>
  </si>
  <si>
    <t>=IF(N45=0,"hide","")</t>
  </si>
  <si>
    <t>=F44</t>
  </si>
  <si>
    <t>=IFERROR(K45-L45-M45," ")</t>
  </si>
  <si>
    <t>=IFERROR($U45*$J45," ")</t>
  </si>
  <si>
    <t>=IF(N46=0,"hide","")</t>
  </si>
  <si>
    <t>=F45</t>
  </si>
  <si>
    <t>=IFERROR(K46-L46-M46," ")</t>
  </si>
  <si>
    <t>=IFERROR($U46*$J46," ")</t>
  </si>
  <si>
    <t>=IF(N64=0,"hide","")</t>
  </si>
  <si>
    <t>=F63</t>
  </si>
  <si>
    <t>=IFERROR(K64-L64-M64," ")</t>
  </si>
  <si>
    <t>=IFERROR($U64*$J64," ")</t>
  </si>
  <si>
    <t>=IF(N65=0,"hide","")</t>
  </si>
  <si>
    <t>=F64</t>
  </si>
  <si>
    <t>=IFERROR(K65-L65-M65," ")</t>
  </si>
  <si>
    <t>=IFERROR($U65*$J65," ")</t>
  </si>
  <si>
    <t>=IF(N88=0,"hide","")</t>
  </si>
  <si>
    <t>=F87</t>
  </si>
  <si>
    <t>=IFERROR(K88-L88-M88," ")</t>
  </si>
  <si>
    <t>=IFERROR($U88*$J88," ")</t>
  </si>
  <si>
    <t>=IF(N121=0,"hide","")</t>
  </si>
  <si>
    <t>=F120</t>
  </si>
  <si>
    <t>=IFERROR(K121-L121-M121," ")</t>
  </si>
  <si>
    <t>=IFERROR($U121*$J121," ")</t>
  </si>
  <si>
    <t>=IF(N193=0,"hide","")</t>
  </si>
  <si>
    <t>=F192</t>
  </si>
  <si>
    <t>=IFERROR(K193-L193-M193," ")</t>
  </si>
  <si>
    <t>=IFERROR($U193*$J193," ")</t>
  </si>
  <si>
    <t>=IF(N194=0,"hide","")</t>
  </si>
  <si>
    <t>=F193</t>
  </si>
  <si>
    <t>=IFERROR(K194-L194-M194," ")</t>
  </si>
  <si>
    <t>=IFERROR($U194*$J194," ")</t>
  </si>
  <si>
    <t>=IF(N203=0,"hide","")</t>
  </si>
  <si>
    <t>=F202</t>
  </si>
  <si>
    <t>=IFERROR(K203-L203-M203," ")</t>
  </si>
  <si>
    <t>=IFERROR($U203*$J203," ")</t>
  </si>
  <si>
    <t>=IF(N204=0,"hide","")</t>
  </si>
  <si>
    <t>=F203</t>
  </si>
  <si>
    <t>=IFERROR(K204-L204-M204," ")</t>
  </si>
  <si>
    <t>=IFERROR($U204*$J204," ")</t>
  </si>
  <si>
    <t>=NF($H203,"No.")</t>
  </si>
  <si>
    <t>=NF($H204,"No.")</t>
  </si>
  <si>
    <t>=NF($H203,"Quantity on Hand")</t>
  </si>
  <si>
    <t>=NF($H204,"Quantity on Hand")</t>
  </si>
  <si>
    <t>=NF($H203,"Qty. on Sales Order")</t>
  </si>
  <si>
    <t>=NF($H204,"Qty. on Sales Order")</t>
  </si>
  <si>
    <t>=NF($H203,"Allocation Quantity (Base)")</t>
  </si>
  <si>
    <t>=NF($H204,"Allocation Quantity (Base)")</t>
  </si>
  <si>
    <t>=NF($H203,"Description")</t>
  </si>
  <si>
    <t>=NF($H204,"Description")</t>
  </si>
  <si>
    <t>=NF($H203,"Pack Size")</t>
  </si>
  <si>
    <t>=NF($H204,"Pack Size")</t>
  </si>
  <si>
    <t>=NF($H203,"FBC Package Type Code")</t>
  </si>
  <si>
    <t>=NF($H204,"FBC Package Type Code")</t>
  </si>
  <si>
    <t>=NF($H203,"FBC Storage Requirement Code")</t>
  </si>
  <si>
    <t>=NF($H204,"FBC Storage Requirement Code")</t>
  </si>
  <si>
    <t>=NF($H203,"Inventory Posting Group")</t>
  </si>
  <si>
    <t>=NF($H204,"Inventory Posting Group")</t>
  </si>
  <si>
    <t>=NF($H203,"Gross Weight")</t>
  </si>
  <si>
    <t>=NF($H204,"Gross Weight")</t>
  </si>
  <si>
    <t>=NF($H203,"Unit Fees")</t>
  </si>
  <si>
    <t>=NF($H204,"Unit Fees")</t>
  </si>
  <si>
    <t>=NF($H193,"No.")</t>
  </si>
  <si>
    <t>=NF($H194,"No.")</t>
  </si>
  <si>
    <t>=NF($H193,"Quantity on Hand")</t>
  </si>
  <si>
    <t>=NF($H194,"Quantity on Hand")</t>
  </si>
  <si>
    <t>=NF($H193,"Qty. on Sales Order")</t>
  </si>
  <si>
    <t>=NF($H194,"Qty. on Sales Order")</t>
  </si>
  <si>
    <t>=NF($H193,"Allocation Quantity (Base)")</t>
  </si>
  <si>
    <t>=NF($H194,"Allocation Quantity (Base)")</t>
  </si>
  <si>
    <t>=NF($H193,"Description")</t>
  </si>
  <si>
    <t>=NF($H194,"Description")</t>
  </si>
  <si>
    <t>=NF($H193,"Pack Size")</t>
  </si>
  <si>
    <t>=NF($H194,"Pack Size")</t>
  </si>
  <si>
    <t>=NF($H193,"FBC Package Type Code")</t>
  </si>
  <si>
    <t>=NF($H194,"FBC Package Type Code")</t>
  </si>
  <si>
    <t>=NF($H193,"FBC Storage Requirement Code")</t>
  </si>
  <si>
    <t>=NF($H194,"FBC Storage Requirement Code")</t>
  </si>
  <si>
    <t>=NF($H193,"Inventory Posting Group")</t>
  </si>
  <si>
    <t>=NF($H194,"Inventory Posting Group")</t>
  </si>
  <si>
    <t>=NF($H193,"Gross Weight")</t>
  </si>
  <si>
    <t>=NF($H194,"Gross Weight")</t>
  </si>
  <si>
    <t>=NF($H193,"Unit Fees")</t>
  </si>
  <si>
    <t>=NF($H194,"Unit Fees")</t>
  </si>
  <si>
    <t>=NF($H121,"No.")</t>
  </si>
  <si>
    <t>=NF($H121,"Quantity on Hand")</t>
  </si>
  <si>
    <t>=NF($H121,"Qty. on Sales Order")</t>
  </si>
  <si>
    <t>=NF($H121,"Allocation Quantity (Base)")</t>
  </si>
  <si>
    <t>=NF($H121,"Description")</t>
  </si>
  <si>
    <t>=NF($H121,"Pack Size")</t>
  </si>
  <si>
    <t>=NF($H121,"FBC Package Type Code")</t>
  </si>
  <si>
    <t>=NF($H121,"FBC Storage Requirement Code")</t>
  </si>
  <si>
    <t>=NF($H121,"Inventory Posting Group")</t>
  </si>
  <si>
    <t>=NF($H121,"Gross Weight")</t>
  </si>
  <si>
    <t>=NF($H121,"Unit Fees")</t>
  </si>
  <si>
    <t>=NF($H88,"No.")</t>
  </si>
  <si>
    <t>=NF($H88,"Quantity on Hand")</t>
  </si>
  <si>
    <t>=NF($H88,"Qty. on Sales Order")</t>
  </si>
  <si>
    <t>=NF($H88,"Allocation Quantity (Base)")</t>
  </si>
  <si>
    <t>=NF($H88,"Description")</t>
  </si>
  <si>
    <t>=NF($H88,"Pack Size")</t>
  </si>
  <si>
    <t>=NF($H88,"FBC Package Type Code")</t>
  </si>
  <si>
    <t>=NF($H88,"FBC Storage Requirement Code")</t>
  </si>
  <si>
    <t>=NF($H88,"Inventory Posting Group")</t>
  </si>
  <si>
    <t>=NF($H88,"Gross Weight")</t>
  </si>
  <si>
    <t>=NF($H88,"Unit Fees")</t>
  </si>
  <si>
    <t>=NF($H64,"No.")</t>
  </si>
  <si>
    <t>=NF($H65,"No.")</t>
  </si>
  <si>
    <t>=NF($H64,"Quantity on Hand")</t>
  </si>
  <si>
    <t>=NF($H65,"Quantity on Hand")</t>
  </si>
  <si>
    <t>=NF($H64,"Qty. on Sales Order")</t>
  </si>
  <si>
    <t>=NF($H65,"Qty. on Sales Order")</t>
  </si>
  <si>
    <t>=NF($H64,"Allocation Quantity (Base)")</t>
  </si>
  <si>
    <t>=NF($H65,"Allocation Quantity (Base)")</t>
  </si>
  <si>
    <t>=NF($H64,"Description")</t>
  </si>
  <si>
    <t>=NF($H65,"Description")</t>
  </si>
  <si>
    <t>=NF($H64,"Pack Size")</t>
  </si>
  <si>
    <t>=NF($H65,"Pack Size")</t>
  </si>
  <si>
    <t>=NF($H64,"FBC Package Type Code")</t>
  </si>
  <si>
    <t>=NF($H65,"FBC Package Type Code")</t>
  </si>
  <si>
    <t>=NF($H64,"FBC Storage Requirement Code")</t>
  </si>
  <si>
    <t>=NF($H65,"FBC Storage Requirement Code")</t>
  </si>
  <si>
    <t>=NF($H64,"Inventory Posting Group")</t>
  </si>
  <si>
    <t>=NF($H65,"Inventory Posting Group")</t>
  </si>
  <si>
    <t>=NF($H64,"Gross Weight")</t>
  </si>
  <si>
    <t>=NF($H65,"Gross Weight")</t>
  </si>
  <si>
    <t>=NF($H64,"Unit Fees")</t>
  </si>
  <si>
    <t>=NF($H65,"Unit Fees")</t>
  </si>
  <si>
    <t>=NF($H45,"No.")</t>
  </si>
  <si>
    <t>=NF($H46,"No.")</t>
  </si>
  <si>
    <t>=NF($H45,"Quantity on Hand")</t>
  </si>
  <si>
    <t>=NF($H46,"Quantity on Hand")</t>
  </si>
  <si>
    <t>=NF($H45,"Qty. on Sales Order")</t>
  </si>
  <si>
    <t>=NF($H46,"Qty. on Sales Order")</t>
  </si>
  <si>
    <t>=NF($H45,"Allocation Quantity (Base)")</t>
  </si>
  <si>
    <t>=NF($H46,"Allocation Quantity (Base)")</t>
  </si>
  <si>
    <t>=NF($H45,"Description")</t>
  </si>
  <si>
    <t>=NF($H46,"Description")</t>
  </si>
  <si>
    <t>=NF($H45,"Pack Size")</t>
  </si>
  <si>
    <t>=NF($H46,"Pack Size")</t>
  </si>
  <si>
    <t>=NF($H45,"FBC Package Type Code")</t>
  </si>
  <si>
    <t>=NF($H46,"FBC Package Type Code")</t>
  </si>
  <si>
    <t>=NF($H45,"FBC Storage Requirement Code")</t>
  </si>
  <si>
    <t>=NF($H46,"FBC Storage Requirement Code")</t>
  </si>
  <si>
    <t>=NF($H45,"Inventory Posting Group")</t>
  </si>
  <si>
    <t>=NF($H46,"Inventory Posting Group")</t>
  </si>
  <si>
    <t>=NF($H45,"Gross Weight")</t>
  </si>
  <si>
    <t>=NF($H46,"Gross Weight")</t>
  </si>
  <si>
    <t>=NF($H45,"Unit Fees")</t>
  </si>
  <si>
    <t>=NF($H46,"Unit Fees")</t>
  </si>
  <si>
    <t>=NF($H39,"No.")</t>
  </si>
  <si>
    <t>=NF($H40,"No.")</t>
  </si>
  <si>
    <t>=NF($H39,"Quantity on Hand")</t>
  </si>
  <si>
    <t>=NF($H40,"Quantity on Hand")</t>
  </si>
  <si>
    <t>=NF($H39,"Qty. on Sales Order")</t>
  </si>
  <si>
    <t>=NF($H40,"Qty. on Sales Order")</t>
  </si>
  <si>
    <t>=NF($H39,"Allocation Quantity (Base)")</t>
  </si>
  <si>
    <t>=NF($H40,"Allocation Quantity (Base)")</t>
  </si>
  <si>
    <t>=NF($H39,"Description")</t>
  </si>
  <si>
    <t>=NF($H40,"Description")</t>
  </si>
  <si>
    <t>=NF($H39,"Pack Size")</t>
  </si>
  <si>
    <t>=NF($H40,"Pack Size")</t>
  </si>
  <si>
    <t>=NF($H39,"FBC Package Type Code")</t>
  </si>
  <si>
    <t>=NF($H40,"FBC Package Type Code")</t>
  </si>
  <si>
    <t>=NF($H39,"FBC Storage Requirement Code")</t>
  </si>
  <si>
    <t>=NF($H40,"FBC Storage Requirement Code")</t>
  </si>
  <si>
    <t>=NF($H39,"Inventory Posting Group")</t>
  </si>
  <si>
    <t>=NF($H40,"Inventory Posting Group")</t>
  </si>
  <si>
    <t>=NF($H39,"Gross Weight")</t>
  </si>
  <si>
    <t>=NF($H40,"Gross Weight")</t>
  </si>
  <si>
    <t>=NF($H39,"Unit Fees")</t>
  </si>
  <si>
    <t>=NF($H40,"Unit Fees")</t>
  </si>
  <si>
    <t>=IF(N63=0,"hide","")</t>
  </si>
  <si>
    <t>=F62</t>
  </si>
  <si>
    <t>=IFERROR(K63-L63-M63," ")</t>
  </si>
  <si>
    <t>=IFERROR($U63*$J63," ")</t>
  </si>
  <si>
    <t>=IF(N87=0,"hide","")</t>
  </si>
  <si>
    <t>=F86</t>
  </si>
  <si>
    <t>=IFERROR(K87-L87-M87," ")</t>
  </si>
  <si>
    <t>=IFERROR($U87*$J87," ")</t>
  </si>
  <si>
    <t>=IF(N118=0,"hide","")</t>
  </si>
  <si>
    <t>=F117</t>
  </si>
  <si>
    <t>=IFERROR(K118-L118-M118," ")</t>
  </si>
  <si>
    <t>=IFERROR($U118*$J118," ")</t>
  </si>
  <si>
    <t>=IF(N132=0,"hide","")</t>
  </si>
  <si>
    <t>=F131</t>
  </si>
  <si>
    <t>=IFERROR(K132-L132-M132," ")</t>
  </si>
  <si>
    <t>=IFERROR($U132*$J132," ")</t>
  </si>
  <si>
    <t>="""Ceres 5 "",""SHNLFB - Duluth - LIVE"",""27"",""1"",""11358"""</t>
  </si>
  <si>
    <t>=IF(N185=0,"hide","")</t>
  </si>
  <si>
    <t>=F184</t>
  </si>
  <si>
    <t>=IFERROR(K185-L185-M185," ")</t>
  </si>
  <si>
    <t>=IFERROR($U185*$J185," ")</t>
  </si>
  <si>
    <t>=IF(N198=0,"hide","")</t>
  </si>
  <si>
    <t>=F197</t>
  </si>
  <si>
    <t>=IFERROR(K198-L198-M198," ")</t>
  </si>
  <si>
    <t>=IFERROR($U198*$J198," ")</t>
  </si>
  <si>
    <t>=NF($H198,"No.")</t>
  </si>
  <si>
    <t>=NF($H198,"Quantity on Hand")</t>
  </si>
  <si>
    <t>=NF($H198,"Qty. on Sales Order")</t>
  </si>
  <si>
    <t>=NF($H198,"Allocation Quantity (Base)")</t>
  </si>
  <si>
    <t>=NF($H198,"Description")</t>
  </si>
  <si>
    <t>=NF($H198,"Pack Size")</t>
  </si>
  <si>
    <t>=NF($H198,"FBC Package Type Code")</t>
  </si>
  <si>
    <t>=NF($H198,"FBC Storage Requirement Code")</t>
  </si>
  <si>
    <t>=NF($H198,"Inventory Posting Group")</t>
  </si>
  <si>
    <t>=NF($H198,"Gross Weight")</t>
  </si>
  <si>
    <t>=NF($H198,"Unit Fees")</t>
  </si>
  <si>
    <t>=NF($H185,"No.")</t>
  </si>
  <si>
    <t>=NF($H185,"Quantity on Hand")</t>
  </si>
  <si>
    <t>=NF($H185,"Qty. on Sales Order")</t>
  </si>
  <si>
    <t>=NF($H185,"Allocation Quantity (Base)")</t>
  </si>
  <si>
    <t>=NF($H185,"Description")</t>
  </si>
  <si>
    <t>=NF($H185,"Pack Size")</t>
  </si>
  <si>
    <t>=NF($H185,"FBC Package Type Code")</t>
  </si>
  <si>
    <t>=NF($H185,"FBC Storage Requirement Code")</t>
  </si>
  <si>
    <t>=NF($H185,"Inventory Posting Group")</t>
  </si>
  <si>
    <t>=NF($H185,"Gross Weight")</t>
  </si>
  <si>
    <t>=NF($H185,"Unit Fees")</t>
  </si>
  <si>
    <t>=NF($H132,"No.")</t>
  </si>
  <si>
    <t>=NF($H132,"Quantity on Hand")</t>
  </si>
  <si>
    <t>=NF($H132,"Qty. on Sales Order")</t>
  </si>
  <si>
    <t>=NF($H132,"Allocation Quantity (Base)")</t>
  </si>
  <si>
    <t>=NF($H132,"Description")</t>
  </si>
  <si>
    <t>=NF($H132,"Pack Size")</t>
  </si>
  <si>
    <t>=NF($H132,"FBC Package Type Code")</t>
  </si>
  <si>
    <t>=NF($H132,"FBC Storage Requirement Code")</t>
  </si>
  <si>
    <t>=NF($H132,"Inventory Posting Group")</t>
  </si>
  <si>
    <t>=NF($H132,"Gross Weight")</t>
  </si>
  <si>
    <t>=NF($H132,"Unit Fees")</t>
  </si>
  <si>
    <t>=NF($H118,"No.")</t>
  </si>
  <si>
    <t>=NF($H118,"Quantity on Hand")</t>
  </si>
  <si>
    <t>=NF($H118,"Qty. on Sales Order")</t>
  </si>
  <si>
    <t>=NF($H118,"Allocation Quantity (Base)")</t>
  </si>
  <si>
    <t>=NF($H118,"Description")</t>
  </si>
  <si>
    <t>=NF($H118,"Pack Size")</t>
  </si>
  <si>
    <t>=NF($H118,"FBC Package Type Code")</t>
  </si>
  <si>
    <t>=NF($H118,"FBC Storage Requirement Code")</t>
  </si>
  <si>
    <t>=NF($H118,"Inventory Posting Group")</t>
  </si>
  <si>
    <t>=NF($H118,"Gross Weight")</t>
  </si>
  <si>
    <t>=NF($H118,"Unit Fees")</t>
  </si>
  <si>
    <t>=NF($H87,"No.")</t>
  </si>
  <si>
    <t>=NF($H87,"Quantity on Hand")</t>
  </si>
  <si>
    <t>=NF($H87,"Qty. on Sales Order")</t>
  </si>
  <si>
    <t>=NF($H87,"Allocation Quantity (Base)")</t>
  </si>
  <si>
    <t>=NF($H87,"Description")</t>
  </si>
  <si>
    <t>=NF($H87,"Pack Size")</t>
  </si>
  <si>
    <t>=NF($H87,"FBC Package Type Code")</t>
  </si>
  <si>
    <t>=NF($H87,"FBC Storage Requirement Code")</t>
  </si>
  <si>
    <t>=NF($H87,"Inventory Posting Group")</t>
  </si>
  <si>
    <t>=NF($H87,"Gross Weight")</t>
  </si>
  <si>
    <t>=NF($H87,"Unit Fees")</t>
  </si>
  <si>
    <t>=NF($H63,"No.")</t>
  </si>
  <si>
    <t>=NF($H63,"Quantity on Hand")</t>
  </si>
  <si>
    <t>=NF($H63,"Qty. on Sales Order")</t>
  </si>
  <si>
    <t>=NF($H63,"Allocation Quantity (Base)")</t>
  </si>
  <si>
    <t>=NF($H63,"Description")</t>
  </si>
  <si>
    <t>=NF($H63,"Pack Size")</t>
  </si>
  <si>
    <t>=NF($H63,"FBC Package Type Code")</t>
  </si>
  <si>
    <t>=NF($H63,"FBC Storage Requirement Code")</t>
  </si>
  <si>
    <t>=NF($H63,"Inventory Posting Group")</t>
  </si>
  <si>
    <t>=NF($H63,"Gross Weight")</t>
  </si>
  <si>
    <t>=NF($H63,"Unit Fees")</t>
  </si>
  <si>
    <t>=IF(N86=0,"hide","")</t>
  </si>
  <si>
    <t>=F85</t>
  </si>
  <si>
    <t>=IFERROR(K86-L86-M86," ")</t>
  </si>
  <si>
    <t>=IFERROR($U86*$J86," ")</t>
  </si>
  <si>
    <t>=IF(N116=0,"hide","")</t>
  </si>
  <si>
    <t>=F115</t>
  </si>
  <si>
    <t>=IFERROR(K116-L116-M116," ")</t>
  </si>
  <si>
    <t>=IFERROR($U116*$J116," ")</t>
  </si>
  <si>
    <t>=IF(N117=0,"hide","")</t>
  </si>
  <si>
    <t>=F116</t>
  </si>
  <si>
    <t>=IFERROR(K117-L117-M117," ")</t>
  </si>
  <si>
    <t>=IFERROR($U117*$J117," ")</t>
  </si>
  <si>
    <t>=IF(N144=0,"hide","")</t>
  </si>
  <si>
    <t>=F143</t>
  </si>
  <si>
    <t>=IFERROR(K144-L144-M144," ")</t>
  </si>
  <si>
    <t>=IFERROR($U144*$J144," ")</t>
  </si>
  <si>
    <t>=IF(N165=0,"hide","")</t>
  </si>
  <si>
    <t>=F164</t>
  </si>
  <si>
    <t>=IFERROR(K165-L165-M165," ")</t>
  </si>
  <si>
    <t>=IFERROR($U165*$J165," ")</t>
  </si>
  <si>
    <t>=IF(N184=0,"hide","")</t>
  </si>
  <si>
    <t>=F183</t>
  </si>
  <si>
    <t>=IFERROR(K184-L184-M184," ")</t>
  </si>
  <si>
    <t>=IFERROR($U184*$J184," ")</t>
  </si>
  <si>
    <t>=IF(N197=0,"hide","")</t>
  </si>
  <si>
    <t>=F196</t>
  </si>
  <si>
    <t>=IFERROR(K197-L197-M197," ")</t>
  </si>
  <si>
    <t>=IFERROR($U197*$J197," ")</t>
  </si>
  <si>
    <t>=NF($H197,"No.")</t>
  </si>
  <si>
    <t>=NF($H197,"Quantity on Hand")</t>
  </si>
  <si>
    <t>=NF($H197,"Qty. on Sales Order")</t>
  </si>
  <si>
    <t>=NF($H197,"Allocation Quantity (Base)")</t>
  </si>
  <si>
    <t>=NF($H197,"Description")</t>
  </si>
  <si>
    <t>=NF($H197,"Pack Size")</t>
  </si>
  <si>
    <t>=NF($H197,"FBC Package Type Code")</t>
  </si>
  <si>
    <t>=NF($H197,"FBC Storage Requirement Code")</t>
  </si>
  <si>
    <t>=NF($H197,"Inventory Posting Group")</t>
  </si>
  <si>
    <t>=NF($H197,"Gross Weight")</t>
  </si>
  <si>
    <t>=NF($H197,"Unit Fees")</t>
  </si>
  <si>
    <t>=NF($H184,"No.")</t>
  </si>
  <si>
    <t>=NF($H184,"Quantity on Hand")</t>
  </si>
  <si>
    <t>=NF($H184,"Qty. on Sales Order")</t>
  </si>
  <si>
    <t>=NF($H184,"Allocation Quantity (Base)")</t>
  </si>
  <si>
    <t>=NF($H184,"Description")</t>
  </si>
  <si>
    <t>=NF($H184,"Pack Size")</t>
  </si>
  <si>
    <t>=NF($H184,"FBC Package Type Code")</t>
  </si>
  <si>
    <t>=NF($H184,"FBC Storage Requirement Code")</t>
  </si>
  <si>
    <t>=NF($H184,"Inventory Posting Group")</t>
  </si>
  <si>
    <t>=NF($H184,"Gross Weight")</t>
  </si>
  <si>
    <t>=NF($H184,"Unit Fees")</t>
  </si>
  <si>
    <t>=NF($H165,"No.")</t>
  </si>
  <si>
    <t>=NF($H165,"Quantity on Hand")</t>
  </si>
  <si>
    <t>=NF($H165,"Qty. on Sales Order")</t>
  </si>
  <si>
    <t>=NF($H165,"Allocation Quantity (Base)")</t>
  </si>
  <si>
    <t>=NF($H165,"Description")</t>
  </si>
  <si>
    <t>=NF($H165,"Pack Size")</t>
  </si>
  <si>
    <t>=NF($H165,"FBC Package Type Code")</t>
  </si>
  <si>
    <t>=NF($H165,"FBC Storage Requirement Code")</t>
  </si>
  <si>
    <t>=NF($H165,"Inventory Posting Group")</t>
  </si>
  <si>
    <t>=NF($H165,"Gross Weight")</t>
  </si>
  <si>
    <t>=NF($H165,"Unit Fees")</t>
  </si>
  <si>
    <t>=NF($H144,"No.")</t>
  </si>
  <si>
    <t>=NF($H144,"Quantity on Hand")</t>
  </si>
  <si>
    <t>=NF($H144,"Qty. on Sales Order")</t>
  </si>
  <si>
    <t>=NF($H144,"Allocation Quantity (Base)")</t>
  </si>
  <si>
    <t>=NF($H144,"Description")</t>
  </si>
  <si>
    <t>=NF($H144,"Pack Size")</t>
  </si>
  <si>
    <t>=NF($H144,"FBC Package Type Code")</t>
  </si>
  <si>
    <t>=NF($H144,"FBC Storage Requirement Code")</t>
  </si>
  <si>
    <t>=NF($H144,"Inventory Posting Group")</t>
  </si>
  <si>
    <t>=NF($H144,"Gross Weight")</t>
  </si>
  <si>
    <t>=NF($H144,"Unit Fees")</t>
  </si>
  <si>
    <t>=NF($H116,"No.")</t>
  </si>
  <si>
    <t>=NF($H117,"No.")</t>
  </si>
  <si>
    <t>=NF($H116,"Quantity on Hand")</t>
  </si>
  <si>
    <t>=NF($H117,"Quantity on Hand")</t>
  </si>
  <si>
    <t>=NF($H116,"Qty. on Sales Order")</t>
  </si>
  <si>
    <t>=NF($H117,"Qty. on Sales Order")</t>
  </si>
  <si>
    <t>=NF($H116,"Allocation Quantity (Base)")</t>
  </si>
  <si>
    <t>=NF($H117,"Allocation Quantity (Base)")</t>
  </si>
  <si>
    <t>=NF($H116,"Description")</t>
  </si>
  <si>
    <t>=NF($H117,"Description")</t>
  </si>
  <si>
    <t>=NF($H116,"Pack Size")</t>
  </si>
  <si>
    <t>=NF($H117,"Pack Size")</t>
  </si>
  <si>
    <t>=NF($H116,"FBC Package Type Code")</t>
  </si>
  <si>
    <t>=NF($H117,"FBC Package Type Code")</t>
  </si>
  <si>
    <t>=NF($H116,"FBC Storage Requirement Code")</t>
  </si>
  <si>
    <t>=NF($H117,"FBC Storage Requirement Code")</t>
  </si>
  <si>
    <t>=NF($H116,"Inventory Posting Group")</t>
  </si>
  <si>
    <t>=NF($H117,"Inventory Posting Group")</t>
  </si>
  <si>
    <t>=NF($H116,"Gross Weight")</t>
  </si>
  <si>
    <t>=NF($H117,"Gross Weight")</t>
  </si>
  <si>
    <t>=NF($H116,"Unit Fees")</t>
  </si>
  <si>
    <t>=NF($H117,"Unit Fees")</t>
  </si>
  <si>
    <t>=NF($H86,"No.")</t>
  </si>
  <si>
    <t>=NF($H86,"Quantity on Hand")</t>
  </si>
  <si>
    <t>=NF($H86,"Qty. on Sales Order")</t>
  </si>
  <si>
    <t>=NF($H86,"Allocation Quantity (Base)")</t>
  </si>
  <si>
    <t>=NF($H86,"Description")</t>
  </si>
  <si>
    <t>=NF($H86,"Pack Size")</t>
  </si>
  <si>
    <t>=NF($H86,"FBC Package Type Code")</t>
  </si>
  <si>
    <t>=NF($H86,"FBC Storage Requirement Code")</t>
  </si>
  <si>
    <t>=NF($H86,"Inventory Posting Group")</t>
  </si>
  <si>
    <t>=NF($H86,"Gross Weight")</t>
  </si>
  <si>
    <t>=NF($H86,"Unit Fees")</t>
  </si>
  <si>
    <t>=IF(N60=0,"hide","")</t>
  </si>
  <si>
    <t>=F59</t>
  </si>
  <si>
    <t>=IFERROR(K60-L60-M60," ")</t>
  </si>
  <si>
    <t>=IFERROR($U60*$J60," ")</t>
  </si>
  <si>
    <t>=IF(N83=0,"hide","")</t>
  </si>
  <si>
    <t>=F82</t>
  </si>
  <si>
    <t>=IFERROR(K83-L83-M83," ")</t>
  </si>
  <si>
    <t>=IFERROR($U83*$J83," ")</t>
  </si>
  <si>
    <t>=IF(N94=0,"hide","")</t>
  </si>
  <si>
    <t>=F93</t>
  </si>
  <si>
    <t>=NF($H94,"No.")</t>
  </si>
  <si>
    <t>=NF($H94,"Quantity on Hand")</t>
  </si>
  <si>
    <t>=NF($H94,"Qty. on Sales Order")</t>
  </si>
  <si>
    <t>=NF($H94,"Allocation Quantity (Base)")</t>
  </si>
  <si>
    <t>=IFERROR(K94-L94-M94," ")</t>
  </si>
  <si>
    <t>=NF($H94,"Description")</t>
  </si>
  <si>
    <t>=NF($H94,"Pack Size")</t>
  </si>
  <si>
    <t>=NF($H94,"FBC Package Type Code")</t>
  </si>
  <si>
    <t>=NF($H94,"FBC Storage Requirement Code")</t>
  </si>
  <si>
    <t>=NF($H94,"Inventory Posting Group")</t>
  </si>
  <si>
    <t>=NF($H94,"Gross Weight")</t>
  </si>
  <si>
    <t>=NF($H94,"Unit Fees")</t>
  </si>
  <si>
    <t>=IFERROR($U94*$J94," ")</t>
  </si>
  <si>
    <t>=IF(N101=0,"hide","")</t>
  </si>
  <si>
    <t>=F100</t>
  </si>
  <si>
    <t>=IFERROR(K101-L101-M101," ")</t>
  </si>
  <si>
    <t>=IFERROR($U101*$J101," ")</t>
  </si>
  <si>
    <t>=IF(N113=0,"hide","")</t>
  </si>
  <si>
    <t>=F112</t>
  </si>
  <si>
    <t>=IFERROR(K113-L113-M113," ")</t>
  </si>
  <si>
    <t>=IFERROR($U113*$J113," ")</t>
  </si>
  <si>
    <t>=IF(N127=0,"hide","")</t>
  </si>
  <si>
    <t>=F126</t>
  </si>
  <si>
    <t>=IFERROR(K127-L127-M127," ")</t>
  </si>
  <si>
    <t>=IFERROR($U127*$J127," ")</t>
  </si>
  <si>
    <t>=IF(N135=0,"hide","")</t>
  </si>
  <si>
    <t>=F134</t>
  </si>
  <si>
    <t>=NF($H135,"No.")</t>
  </si>
  <si>
    <t>=NF($H135,"Quantity on Hand")</t>
  </si>
  <si>
    <t>=NF($H135,"Qty. on Sales Order")</t>
  </si>
  <si>
    <t>=NF($H135,"Allocation Quantity (Base)")</t>
  </si>
  <si>
    <t>=IFERROR(K135-L135-M135," ")</t>
  </si>
  <si>
    <t>=NF($H135,"Description")</t>
  </si>
  <si>
    <t>=NF($H135,"Pack Size")</t>
  </si>
  <si>
    <t>=NF($H135,"FBC Package Type Code")</t>
  </si>
  <si>
    <t>=NF($H135,"FBC Storage Requirement Code")</t>
  </si>
  <si>
    <t>=NF($H135,"Inventory Posting Group")</t>
  </si>
  <si>
    <t>=NF($H135,"Gross Weight")</t>
  </si>
  <si>
    <t>=NF($H135,"Unit Fees")</t>
  </si>
  <si>
    <t>=IFERROR($U135*$J135," ")</t>
  </si>
  <si>
    <t>=IF(N139=0,"hide","")</t>
  </si>
  <si>
    <t>=F138</t>
  </si>
  <si>
    <t>=IFERROR(K139-L139-M139," ")</t>
  </si>
  <si>
    <t>=IFERROR($U139*$J139," ")</t>
  </si>
  <si>
    <t>=IF(N183=0,"hide","")</t>
  </si>
  <si>
    <t>=F182</t>
  </si>
  <si>
    <t>=IFERROR(K183-L183-M183," ")</t>
  </si>
  <si>
    <t>=IFERROR($U183*$J183," ")</t>
  </si>
  <si>
    <t>=IF(N190=0,"hide","")</t>
  </si>
  <si>
    <t>=F189</t>
  </si>
  <si>
    <t>=IFERROR(K190-L190-M190," ")</t>
  </si>
  <si>
    <t>=IFERROR($U190*$J190," ")</t>
  </si>
  <si>
    <t>=IF(N191=0,"hide","")</t>
  </si>
  <si>
    <t>=F190</t>
  </si>
  <si>
    <t>=IFERROR(K191-L191-M191," ")</t>
  </si>
  <si>
    <t>=IFERROR($U191*$J191," ")</t>
  </si>
  <si>
    <t>=IF(N222=0,"hide","")</t>
  </si>
  <si>
    <t>=F221</t>
  </si>
  <si>
    <t>=IFERROR(K222-L222-M222," ")</t>
  </si>
  <si>
    <t>=IFERROR($U222*$J222," ")</t>
  </si>
  <si>
    <t>=NF($H222,"No.")</t>
  </si>
  <si>
    <t>=NF($H222,"Quantity on Hand")</t>
  </si>
  <si>
    <t>=NF($H222,"Qty. on Sales Order")</t>
  </si>
  <si>
    <t>=NF($H222,"Allocation Quantity (Base)")</t>
  </si>
  <si>
    <t>=NF($H222,"Description")</t>
  </si>
  <si>
    <t>=NF($H222,"Pack Size")</t>
  </si>
  <si>
    <t>=NF($H222,"FBC Package Type Code")</t>
  </si>
  <si>
    <t>=NF($H222,"FBC Storage Requirement Code")</t>
  </si>
  <si>
    <t>=NF($H222,"Inventory Posting Group")</t>
  </si>
  <si>
    <t>=NF($H222,"Gross Weight")</t>
  </si>
  <si>
    <t>=NF($H222,"Unit Fees")</t>
  </si>
  <si>
    <t>=NF($H190,"No.")</t>
  </si>
  <si>
    <t>=NF($H191,"No.")</t>
  </si>
  <si>
    <t>=NF($H190,"Quantity on Hand")</t>
  </si>
  <si>
    <t>=NF($H191,"Quantity on Hand")</t>
  </si>
  <si>
    <t>=NF($H190,"Qty. on Sales Order")</t>
  </si>
  <si>
    <t>=NF($H191,"Qty. on Sales Order")</t>
  </si>
  <si>
    <t>=NF($H190,"Allocation Quantity (Base)")</t>
  </si>
  <si>
    <t>=NF($H191,"Allocation Quantity (Base)")</t>
  </si>
  <si>
    <t>=NF($H190,"Description")</t>
  </si>
  <si>
    <t>=NF($H191,"Description")</t>
  </si>
  <si>
    <t>=NF($H190,"Pack Size")</t>
  </si>
  <si>
    <t>=NF($H191,"Pack Size")</t>
  </si>
  <si>
    <t>=NF($H190,"FBC Package Type Code")</t>
  </si>
  <si>
    <t>=NF($H191,"FBC Package Type Code")</t>
  </si>
  <si>
    <t>=NF($H190,"FBC Storage Requirement Code")</t>
  </si>
  <si>
    <t>=NF($H191,"FBC Storage Requirement Code")</t>
  </si>
  <si>
    <t>=NF($H190,"Inventory Posting Group")</t>
  </si>
  <si>
    <t>=NF($H191,"Inventory Posting Group")</t>
  </si>
  <si>
    <t>=NF($H190,"Gross Weight")</t>
  </si>
  <si>
    <t>=NF($H191,"Gross Weight")</t>
  </si>
  <si>
    <t>=NF($H190,"Unit Fees")</t>
  </si>
  <si>
    <t>=NF($H191,"Unit Fees")</t>
  </si>
  <si>
    <t>=NF($H183,"No.")</t>
  </si>
  <si>
    <t>=NF($H183,"Quantity on Hand")</t>
  </si>
  <si>
    <t>=NF($H183,"Qty. on Sales Order")</t>
  </si>
  <si>
    <t>=NF($H183,"Allocation Quantity (Base)")</t>
  </si>
  <si>
    <t>=NF($H183,"Description")</t>
  </si>
  <si>
    <t>=NF($H183,"Pack Size")</t>
  </si>
  <si>
    <t>=NF($H183,"FBC Package Type Code")</t>
  </si>
  <si>
    <t>=NF($H183,"FBC Storage Requirement Code")</t>
  </si>
  <si>
    <t>=NF($H183,"Inventory Posting Group")</t>
  </si>
  <si>
    <t>=NF($H183,"Gross Weight")</t>
  </si>
  <si>
    <t>=NF($H183,"Unit Fees")</t>
  </si>
  <si>
    <t>=NF($H139,"No.")</t>
  </si>
  <si>
    <t>=NF($H139,"Quantity on Hand")</t>
  </si>
  <si>
    <t>=NF($H139,"Qty. on Sales Order")</t>
  </si>
  <si>
    <t>=NF($H139,"Allocation Quantity (Base)")</t>
  </si>
  <si>
    <t>=NF($H139,"Description")</t>
  </si>
  <si>
    <t>=NF($H139,"Pack Size")</t>
  </si>
  <si>
    <t>=NF($H139,"FBC Package Type Code")</t>
  </si>
  <si>
    <t>=NF($H139,"FBC Storage Requirement Code")</t>
  </si>
  <si>
    <t>=NF($H139,"Inventory Posting Group")</t>
  </si>
  <si>
    <t>=NF($H139,"Gross Weight")</t>
  </si>
  <si>
    <t>=NF($H139,"Unit Fees")</t>
  </si>
  <si>
    <t>=NF($H127,"No.")</t>
  </si>
  <si>
    <t>=NF($H127,"Quantity on Hand")</t>
  </si>
  <si>
    <t>=NF($H127,"Qty. on Sales Order")</t>
  </si>
  <si>
    <t>=NF($H127,"Allocation Quantity (Base)")</t>
  </si>
  <si>
    <t>=NF($H127,"Description")</t>
  </si>
  <si>
    <t>=NF($H127,"Pack Size")</t>
  </si>
  <si>
    <t>=NF($H127,"FBC Package Type Code")</t>
  </si>
  <si>
    <t>=NF($H127,"FBC Storage Requirement Code")</t>
  </si>
  <si>
    <t>=NF($H127,"Inventory Posting Group")</t>
  </si>
  <si>
    <t>=NF($H127,"Gross Weight")</t>
  </si>
  <si>
    <t>=NF($H127,"Unit Fees")</t>
  </si>
  <si>
    <t>=NF($H113,"No.")</t>
  </si>
  <si>
    <t>=NF($H113,"Quantity on Hand")</t>
  </si>
  <si>
    <t>=NF($H113,"Qty. on Sales Order")</t>
  </si>
  <si>
    <t>=NF($H113,"Allocation Quantity (Base)")</t>
  </si>
  <si>
    <t>=NF($H113,"Description")</t>
  </si>
  <si>
    <t>=NF($H113,"Pack Size")</t>
  </si>
  <si>
    <t>=NF($H113,"FBC Package Type Code")</t>
  </si>
  <si>
    <t>=NF($H113,"FBC Storage Requirement Code")</t>
  </si>
  <si>
    <t>=NF($H113,"Inventory Posting Group")</t>
  </si>
  <si>
    <t>=NF($H113,"Gross Weight")</t>
  </si>
  <si>
    <t>=NF($H113,"Unit Fees")</t>
  </si>
  <si>
    <t>=NF($H101,"No.")</t>
  </si>
  <si>
    <t>=NF($H101,"Quantity on Hand")</t>
  </si>
  <si>
    <t>=NF($H101,"Qty. on Sales Order")</t>
  </si>
  <si>
    <t>=NF($H101,"Allocation Quantity (Base)")</t>
  </si>
  <si>
    <t>=NF($H101,"Description")</t>
  </si>
  <si>
    <t>=NF($H101,"Pack Size")</t>
  </si>
  <si>
    <t>=NF($H101,"FBC Package Type Code")</t>
  </si>
  <si>
    <t>=NF($H101,"FBC Storage Requirement Code")</t>
  </si>
  <si>
    <t>=NF($H101,"Inventory Posting Group")</t>
  </si>
  <si>
    <t>=NF($H101,"Gross Weight")</t>
  </si>
  <si>
    <t>=NF($H101,"Unit Fees")</t>
  </si>
  <si>
    <t>=NF($H83,"No.")</t>
  </si>
  <si>
    <t>=NF($H83,"Quantity on Hand")</t>
  </si>
  <si>
    <t>=NF($H83,"Qty. on Sales Order")</t>
  </si>
  <si>
    <t>=NF($H83,"Allocation Quantity (Base)")</t>
  </si>
  <si>
    <t>=NF($H83,"Description")</t>
  </si>
  <si>
    <t>=NF($H83,"Pack Size")</t>
  </si>
  <si>
    <t>=NF($H83,"FBC Package Type Code")</t>
  </si>
  <si>
    <t>=NF($H83,"FBC Storage Requirement Code")</t>
  </si>
  <si>
    <t>=NF($H83,"Inventory Posting Group")</t>
  </si>
  <si>
    <t>=NF($H83,"Gross Weight")</t>
  </si>
  <si>
    <t>=NF($H83,"Unit Fees")</t>
  </si>
  <si>
    <t>=NF($H60,"No.")</t>
  </si>
  <si>
    <t>=NF($H60,"Quantity on Hand")</t>
  </si>
  <si>
    <t>=NF($H60,"Qty. on Sales Order")</t>
  </si>
  <si>
    <t>=NF($H60,"Allocation Quantity (Base)")</t>
  </si>
  <si>
    <t>=NF($H60,"Description")</t>
  </si>
  <si>
    <t>=NF($H60,"Pack Size")</t>
  </si>
  <si>
    <t>=NF($H60,"FBC Package Type Code")</t>
  </si>
  <si>
    <t>=NF($H60,"FBC Storage Requirement Code")</t>
  </si>
  <si>
    <t>=NF($H60,"Inventory Posting Group")</t>
  </si>
  <si>
    <t>=NF($H60,"Gross Weight")</t>
  </si>
  <si>
    <t>=NF($H60,"Unit Fees")</t>
  </si>
  <si>
    <t>=IF(N189=0,"hide","")</t>
  </si>
  <si>
    <t>=F188</t>
  </si>
  <si>
    <t>=IFERROR(K189-L189-M189," ")</t>
  </si>
  <si>
    <t>=IFERROR($U189*$J189," ")</t>
  </si>
  <si>
    <t>=IF(N219=0,"hide","")</t>
  </si>
  <si>
    <t>=F218</t>
  </si>
  <si>
    <t>=IFERROR(K219-L219-M219," ")</t>
  </si>
  <si>
    <t>=IFERROR($U219*$J219," ")</t>
  </si>
  <si>
    <t>=NF($H219,"No.")</t>
  </si>
  <si>
    <t>=NF($H219,"Quantity on Hand")</t>
  </si>
  <si>
    <t>=NF($H219,"Qty. on Sales Order")</t>
  </si>
  <si>
    <t>=NF($H219,"Allocation Quantity (Base)")</t>
  </si>
  <si>
    <t>=NF($H219,"Description")</t>
  </si>
  <si>
    <t>=NF($H219,"Pack Size")</t>
  </si>
  <si>
    <t>=NF($H219,"FBC Package Type Code")</t>
  </si>
  <si>
    <t>=NF($H219,"FBC Storage Requirement Code")</t>
  </si>
  <si>
    <t>=NF($H219,"Inventory Posting Group")</t>
  </si>
  <si>
    <t>=NF($H219,"Gross Weight")</t>
  </si>
  <si>
    <t>=NF($H219,"Unit Fees")</t>
  </si>
  <si>
    <t>=NF($H189,"No.")</t>
  </si>
  <si>
    <t>=NF($H189,"Quantity on Hand")</t>
  </si>
  <si>
    <t>=NF($H189,"Qty. on Sales Order")</t>
  </si>
  <si>
    <t>=NF($H189,"Allocation Quantity (Base)")</t>
  </si>
  <si>
    <t>=NF($H189,"Description")</t>
  </si>
  <si>
    <t>=NF($H189,"Pack Size")</t>
  </si>
  <si>
    <t>=NF($H189,"FBC Package Type Code")</t>
  </si>
  <si>
    <t>=NF($H189,"FBC Storage Requirement Code")</t>
  </si>
  <si>
    <t>=NF($H189,"Inventory Posting Group")</t>
  </si>
  <si>
    <t>=NF($H189,"Gross Weight")</t>
  </si>
  <si>
    <t>=NF($H189,"Unit Fees")</t>
  </si>
  <si>
    <t>="""Ceres 5 "",""SHNLFB - Duluth - LIVE"",""27"",""1"",""13605"""</t>
  </si>
  <si>
    <t>=IF(N17=0,"hide","")</t>
  </si>
  <si>
    <t>=F16</t>
  </si>
  <si>
    <t>=IFERROR(K17-L17-M17," ")</t>
  </si>
  <si>
    <t>=IFERROR($U17*$J17," ")</t>
  </si>
  <si>
    <t>=G19</t>
  </si>
  <si>
    <t>=NL(,"Fbc Product Type","Description","Code",$G19)</t>
  </si>
  <si>
    <t>=NL("Rows","Item",,"FBC Product Type Code","@@"&amp;$F20,"Quantity on Hand","&gt;0","Shopping List",$C$2,"Inventory Posting Group",$C$3,"+Description","*","=nf(,""quantity on hand"") - nf(,""qty. on sales order"")","&gt;0","FBC Storage Requirement Code",$C$4)</t>
  </si>
  <si>
    <t>="""Ceres 5 "",""SHNLFB - Duluth - LIVE"",""27"",""1"",""10383"""</t>
  </si>
  <si>
    <t>="""Ceres 5 "",""SHNLFB - Duluth - LIVE"",""27"",""1"",""11652"""</t>
  </si>
  <si>
    <t>=IF(N36=0,"hide","")</t>
  </si>
  <si>
    <t>=F35</t>
  </si>
  <si>
    <t>=IFERROR(K36-L36-M36," ")</t>
  </si>
  <si>
    <t>=IFERROR($U36*$J36," ")</t>
  </si>
  <si>
    <t>=G38</t>
  </si>
  <si>
    <t>=NL(,"Fbc Product Type","Description","Code",$G38)</t>
  </si>
  <si>
    <t>=NL("Rows","Item",,"FBC Product Type Code","@@"&amp;$F39,"Quantity on Hand","&gt;0","Shopping List",$C$2,"Inventory Posting Group",$C$3,"+Description","*","=nf(,""quantity on hand"") - nf(,""qty. on sales order"")","&gt;0","FBC Storage Requirement Code",$C$4)</t>
  </si>
  <si>
    <t>=IF(N42=0,"hide","")</t>
  </si>
  <si>
    <t>=F41</t>
  </si>
  <si>
    <t>=IFERROR(K42-L42-M42," ")</t>
  </si>
  <si>
    <t>=IFERROR($U42*$J42," ")</t>
  </si>
  <si>
    <t>=G44</t>
  </si>
  <si>
    <t>=NL(,"Fbc Product Type","Description","Code",$G44)</t>
  </si>
  <si>
    <t>=NL("Rows","Item",,"FBC Product Type Code","@@"&amp;$F45,"Quantity on Hand","&gt;0","Shopping List",$C$2,"Inventory Posting Group",$C$3,"+Description","*","=nf(,""quantity on hand"") - nf(,""qty. on sales order"")","&gt;0","FBC Storage Requirement Code",$C$4)</t>
  </si>
  <si>
    <t>="""Ceres 5 "",""SHNLFB - Duluth - LIVE"",""27"",""1"",""10607"""</t>
  </si>
  <si>
    <t>="""Ceres 5 "",""SHNLFB - Duluth - LIVE"",""27"",""1"",""11500"""</t>
  </si>
  <si>
    <t>=IF(N59=0,"hide","")</t>
  </si>
  <si>
    <t>=F58</t>
  </si>
  <si>
    <t>=IFERROR(K59-L59-M59," ")</t>
  </si>
  <si>
    <t>=IFERROR($U59*$J59," ")</t>
  </si>
  <si>
    <t>=IF(N81=0,"hide","")</t>
  </si>
  <si>
    <t>=F80</t>
  </si>
  <si>
    <t>=IFERROR(K81-L81-M81," ")</t>
  </si>
  <si>
    <t>=IFERROR($U81*$J81," ")</t>
  </si>
  <si>
    <t>=IF(N82=0,"hide","")</t>
  </si>
  <si>
    <t>=F81</t>
  </si>
  <si>
    <t>=IFERROR(K82-L82-M82," ")</t>
  </si>
  <si>
    <t>=IFERROR($U82*$J82," ")</t>
  </si>
  <si>
    <t>="""Ceres 5 "",""SHNLFB - Duluth - LIVE"",""27"",""1"",""11578"""</t>
  </si>
  <si>
    <t>=IF(N100=0,"hide","")</t>
  </si>
  <si>
    <t>=F99</t>
  </si>
  <si>
    <t>=NF($H100,"No.")</t>
  </si>
  <si>
    <t>=NF($H100,"Quantity on Hand")</t>
  </si>
  <si>
    <t>=NF($H100,"Qty. on Sales Order")</t>
  </si>
  <si>
    <t>=NF($H100,"Allocation Quantity (Base)")</t>
  </si>
  <si>
    <t>=IFERROR(K100-L100-M100," ")</t>
  </si>
  <si>
    <t>=NF($H100,"Description")</t>
  </si>
  <si>
    <t>=NF($H100,"Pack Size")</t>
  </si>
  <si>
    <t>=NF($H100,"FBC Package Type Code")</t>
  </si>
  <si>
    <t>=NF($H100,"FBC Storage Requirement Code")</t>
  </si>
  <si>
    <t>=NF($H100,"Inventory Posting Group")</t>
  </si>
  <si>
    <t>=NF($H100,"Gross Weight")</t>
  </si>
  <si>
    <t>=NF($H100,"Unit Fees")</t>
  </si>
  <si>
    <t>=IFERROR($U100*$J100," ")</t>
  </si>
  <si>
    <t>=IF(N107=0,"hide","")</t>
  </si>
  <si>
    <t>=F106</t>
  </si>
  <si>
    <t>=IFERROR(K107-L107-M107," ")</t>
  </si>
  <si>
    <t>=IFERROR($U107*$J107," ")</t>
  </si>
  <si>
    <t>=IF(N112=0,"hide","")</t>
  </si>
  <si>
    <t>=F111</t>
  </si>
  <si>
    <t>=NF($H112,"No.")</t>
  </si>
  <si>
    <t>=NF($H112,"Quantity on Hand")</t>
  </si>
  <si>
    <t>=NF($H112,"Qty. on Sales Order")</t>
  </si>
  <si>
    <t>=NF($H112,"Allocation Quantity (Base)")</t>
  </si>
  <si>
    <t>=IFERROR(K112-L112-M112," ")</t>
  </si>
  <si>
    <t>=NF($H112,"Description")</t>
  </si>
  <si>
    <t>=NF($H112,"Pack Size")</t>
  </si>
  <si>
    <t>=NF($H112,"FBC Package Type Code")</t>
  </si>
  <si>
    <t>=NF($H112,"FBC Storage Requirement Code")</t>
  </si>
  <si>
    <t>=NF($H112,"Inventory Posting Group")</t>
  </si>
  <si>
    <t>=NF($H112,"Gross Weight")</t>
  </si>
  <si>
    <t>=NF($H112,"Unit Fees")</t>
  </si>
  <si>
    <t>=IFERROR($U112*$J112," ")</t>
  </si>
  <si>
    <t>=IF(N125=0,"hide","")</t>
  </si>
  <si>
    <t>=F124</t>
  </si>
  <si>
    <t>=IFERROR(K125-L125-M125," ")</t>
  </si>
  <si>
    <t>=IFERROR($U125*$J125," ")</t>
  </si>
  <si>
    <t>=IF(N126=0,"hide","")</t>
  </si>
  <si>
    <t>=F125</t>
  </si>
  <si>
    <t>=IFERROR(K126-L126-M126," ")</t>
  </si>
  <si>
    <t>=IFERROR($U126*$J126," ")</t>
  </si>
  <si>
    <t>=IF(N133=0,"hide","")</t>
  </si>
  <si>
    <t>=F132</t>
  </si>
  <si>
    <t>=IFERROR(K133-L133-M133," ")</t>
  </si>
  <si>
    <t>=IFERROR($U133*$J133," ")</t>
  </si>
  <si>
    <t>=IF(N134=0,"hide","")</t>
  </si>
  <si>
    <t>=F133</t>
  </si>
  <si>
    <t>=IFERROR(K134-L134-M134," ")</t>
  </si>
  <si>
    <t>=IFERROR($U134*$J134," ")</t>
  </si>
  <si>
    <t>=G137</t>
  </si>
  <si>
    <t>=NL(,"Fbc Product Type","Description","Code",$G137)</t>
  </si>
  <si>
    <t>=IF(N138=0,"hide","")</t>
  </si>
  <si>
    <t>=F137</t>
  </si>
  <si>
    <t>=NL("Rows","Item",,"FBC Product Type Code","@@"&amp;$F138,"Quantity on Hand","&gt;0","Shopping List",$C$2,"Inventory Posting Group",$C$3,"+Description","*","=nf(,""quantity on hand"") - nf(,""qty. on sales order"")","&gt;0","FBC Storage Requirement Code",$C$4)</t>
  </si>
  <si>
    <t>=NF($H138,"No.")</t>
  </si>
  <si>
    <t>=NF($H138,"Quantity on Hand")</t>
  </si>
  <si>
    <t>=NF($H138,"Qty. on Sales Order")</t>
  </si>
  <si>
    <t>=NF($H138,"Allocation Quantity (Base)")</t>
  </si>
  <si>
    <t>=IFERROR(K138-L138-M138," ")</t>
  </si>
  <si>
    <t>=NF($H138,"Description")</t>
  </si>
  <si>
    <t>=NF($H138,"Pack Size")</t>
  </si>
  <si>
    <t>=NF($H138,"FBC Package Type Code")</t>
  </si>
  <si>
    <t>=NF($H138,"FBC Storage Requirement Code")</t>
  </si>
  <si>
    <t>=NF($H138,"Inventory Posting Group")</t>
  </si>
  <si>
    <t>=NF($H138,"Gross Weight")</t>
  </si>
  <si>
    <t>=NF($H138,"Unit Fees")</t>
  </si>
  <si>
    <t>=IFERROR($U138*$J138," ")</t>
  </si>
  <si>
    <t>=IF(N148=0,"hide","")</t>
  </si>
  <si>
    <t>=F147</t>
  </si>
  <si>
    <t>=IFERROR(K148-L148-M148," ")</t>
  </si>
  <si>
    <t>=IFERROR($U148*$J148," ")</t>
  </si>
  <si>
    <t>=IF(N161=0,"hide","")</t>
  </si>
  <si>
    <t>=F160</t>
  </si>
  <si>
    <t>=NF($H161,"No.")</t>
  </si>
  <si>
    <t>=NF($H161,"Quantity on Hand")</t>
  </si>
  <si>
    <t>=NF($H161,"Qty. on Sales Order")</t>
  </si>
  <si>
    <t>=NF($H161,"Allocation Quantity (Base)")</t>
  </si>
  <si>
    <t>=IFERROR(K161-L161-M161," ")</t>
  </si>
  <si>
    <t>=NF($H161,"Description")</t>
  </si>
  <si>
    <t>=NF($H161,"Pack Size")</t>
  </si>
  <si>
    <t>=NF($H161,"FBC Package Type Code")</t>
  </si>
  <si>
    <t>=NF($H161,"FBC Storage Requirement Code")</t>
  </si>
  <si>
    <t>=NF($H161,"Inventory Posting Group")</t>
  </si>
  <si>
    <t>=NF($H161,"Gross Weight")</t>
  </si>
  <si>
    <t>=NF($H161,"Unit Fees")</t>
  </si>
  <si>
    <t>=IFERROR($U161*$J161," ")</t>
  </si>
  <si>
    <t>=IF(N170=0,"hide","")</t>
  </si>
  <si>
    <t>=F169</t>
  </si>
  <si>
    <t>=NF($H170,"No.")</t>
  </si>
  <si>
    <t>=NF($H170,"Quantity on Hand")</t>
  </si>
  <si>
    <t>=NF($H170,"Qty. on Sales Order")</t>
  </si>
  <si>
    <t>=NF($H170,"Allocation Quantity (Base)")</t>
  </si>
  <si>
    <t>=IFERROR(K170-L170-M170," ")</t>
  </si>
  <si>
    <t>=NF($H170,"Description")</t>
  </si>
  <si>
    <t>=NF($H170,"Pack Size")</t>
  </si>
  <si>
    <t>=NF($H170,"FBC Package Type Code")</t>
  </si>
  <si>
    <t>=NF($H170,"FBC Storage Requirement Code")</t>
  </si>
  <si>
    <t>=NF($H170,"Inventory Posting Group")</t>
  </si>
  <si>
    <t>=NF($H170,"Gross Weight")</t>
  </si>
  <si>
    <t>=NF($H170,"Unit Fees")</t>
  </si>
  <si>
    <t>=IFERROR($U170*$J170," ")</t>
  </si>
  <si>
    <t>=IF(N174=0,"hide","")</t>
  </si>
  <si>
    <t>=F173</t>
  </si>
  <si>
    <t>=IFERROR(K174-L174-M174," ")</t>
  </si>
  <si>
    <t>=IFERROR($U174*$J174," ")</t>
  </si>
  <si>
    <t>=IF(N175=0,"hide","")</t>
  </si>
  <si>
    <t>=F174</t>
  </si>
  <si>
    <t>=IFERROR(K175-L175-M175," ")</t>
  </si>
  <si>
    <t>=IFERROR($U175*$J175," ")</t>
  </si>
  <si>
    <t>=IF(N180=0,"hide","")</t>
  </si>
  <si>
    <t>=F179</t>
  </si>
  <si>
    <t>=IFERROR(K180-L180-M180," ")</t>
  </si>
  <si>
    <t>=IFERROR($U180*$J180," ")</t>
  </si>
  <si>
    <t>="""Ceres 5 "",""SHNLFB - Duluth - LIVE"",""27"",""1"",""10896"""</t>
  </si>
  <si>
    <t>="""Ceres 5 "",""SHNLFB - Duluth - LIVE"",""27"",""1"",""11514"""</t>
  </si>
  <si>
    <t>=IF(N187=0,"hide","")</t>
  </si>
  <si>
    <t>=F186</t>
  </si>
  <si>
    <t>="""Ceres 5 "",""SHNLFB - Duluth - LIVE"",""27"",""1"",""11378"""</t>
  </si>
  <si>
    <t>=IFERROR(K187-L187-M187," ")</t>
  </si>
  <si>
    <t>=IFERROR($U187*$J187," ")</t>
  </si>
  <si>
    <t>=IF(N188=0,"hide","")</t>
  </si>
  <si>
    <t>=F187</t>
  </si>
  <si>
    <t>="""Ceres 5 "",""SHNLFB - Duluth - LIVE"",""27"",""1"",""10952"""</t>
  </si>
  <si>
    <t>=IFERROR(K188-L188-M188," ")</t>
  </si>
  <si>
    <t>=IFERROR($U188*$J188," ")</t>
  </si>
  <si>
    <t>="""Ceres 5 "",""SHNLFB - Duluth - LIVE"",""27"",""1"",""10917"""</t>
  </si>
  <si>
    <t>=IF(N217=0,"hide","")</t>
  </si>
  <si>
    <t>=F216</t>
  </si>
  <si>
    <t>=IFERROR(K217-L217-M217," ")</t>
  </si>
  <si>
    <t>=IFERROR($U217*$J217," ")</t>
  </si>
  <si>
    <t>=IF(N218=0,"hide","")</t>
  </si>
  <si>
    <t>=F217</t>
  </si>
  <si>
    <t>=IFERROR(K218-L218-M218," ")</t>
  </si>
  <si>
    <t>=IFERROR($U218*$J218," ")</t>
  </si>
  <si>
    <t>="""Ceres 5 "",""SHNLFB - Duluth - LIVE"",""27"",""1"",""10748"""</t>
  </si>
  <si>
    <t>=NF($H17,"No.")</t>
  </si>
  <si>
    <t>=NF($H17,"Quantity on Hand")</t>
  </si>
  <si>
    <t>=NF($H17,"Qty. on Sales Order")</t>
  </si>
  <si>
    <t>=NF($H17,"Allocation Quantity (Base)")</t>
  </si>
  <si>
    <t>=NF($H17,"Description")</t>
  </si>
  <si>
    <t>=NF($H17,"Pack Size")</t>
  </si>
  <si>
    <t>=NF($H17,"FBC Package Type Code")</t>
  </si>
  <si>
    <t>=NF($H17,"FBC Storage Requirement Code")</t>
  </si>
  <si>
    <t>=NF($H17,"Inventory Posting Group")</t>
  </si>
  <si>
    <t>=NF($H17,"Gross Weight")</t>
  </si>
  <si>
    <t>=NF($H17,"Unit Fees")</t>
  </si>
  <si>
    <t>=NF($H217,"No.")</t>
  </si>
  <si>
    <t>=NF($H218,"No.")</t>
  </si>
  <si>
    <t>=NF($H217,"Quantity on Hand")</t>
  </si>
  <si>
    <t>=NF($H218,"Quantity on Hand")</t>
  </si>
  <si>
    <t>=NF($H217,"Qty. on Sales Order")</t>
  </si>
  <si>
    <t>=NF($H218,"Qty. on Sales Order")</t>
  </si>
  <si>
    <t>=NF($H217,"Allocation Quantity (Base)")</t>
  </si>
  <si>
    <t>=NF($H218,"Allocation Quantity (Base)")</t>
  </si>
  <si>
    <t>=NF($H217,"Description")</t>
  </si>
  <si>
    <t>=NF($H218,"Description")</t>
  </si>
  <si>
    <t>=NF($H217,"Pack Size")</t>
  </si>
  <si>
    <t>=NF($H218,"Pack Size")</t>
  </si>
  <si>
    <t>=NF($H217,"FBC Package Type Code")</t>
  </si>
  <si>
    <t>=NF($H218,"FBC Package Type Code")</t>
  </si>
  <si>
    <t>=NF($H217,"FBC Storage Requirement Code")</t>
  </si>
  <si>
    <t>=NF($H218,"FBC Storage Requirement Code")</t>
  </si>
  <si>
    <t>=NF($H217,"Inventory Posting Group")</t>
  </si>
  <si>
    <t>=NF($H218,"Inventory Posting Group")</t>
  </si>
  <si>
    <t>=NF($H217,"Gross Weight")</t>
  </si>
  <si>
    <t>=NF($H218,"Gross Weight")</t>
  </si>
  <si>
    <t>=NF($H217,"Unit Fees")</t>
  </si>
  <si>
    <t>=NF($H218,"Unit Fees")</t>
  </si>
  <si>
    <t>=NF($H187,"No.")</t>
  </si>
  <si>
    <t>=NF($H188,"No.")</t>
  </si>
  <si>
    <t>=NF($H187,"Quantity on Hand")</t>
  </si>
  <si>
    <t>=NF($H188,"Quantity on Hand")</t>
  </si>
  <si>
    <t>=NF($H187,"Qty. on Sales Order")</t>
  </si>
  <si>
    <t>=NF($H188,"Qty. on Sales Order")</t>
  </si>
  <si>
    <t>=NF($H187,"Allocation Quantity (Base)")</t>
  </si>
  <si>
    <t>=NF($H188,"Allocation Quantity (Base)")</t>
  </si>
  <si>
    <t>=NF($H187,"Description")</t>
  </si>
  <si>
    <t>=NF($H188,"Description")</t>
  </si>
  <si>
    <t>=NF($H187,"Pack Size")</t>
  </si>
  <si>
    <t>=NF($H188,"Pack Size")</t>
  </si>
  <si>
    <t>=NF($H187,"FBC Package Type Code")</t>
  </si>
  <si>
    <t>=NF($H188,"FBC Package Type Code")</t>
  </si>
  <si>
    <t>=NF($H187,"FBC Storage Requirement Code")</t>
  </si>
  <si>
    <t>=NF($H188,"FBC Storage Requirement Code")</t>
  </si>
  <si>
    <t>=NF($H187,"Inventory Posting Group")</t>
  </si>
  <si>
    <t>=NF($H188,"Inventory Posting Group")</t>
  </si>
  <si>
    <t>=NF($H187,"Gross Weight")</t>
  </si>
  <si>
    <t>=NF($H188,"Gross Weight")</t>
  </si>
  <si>
    <t>=NF($H187,"Unit Fees")</t>
  </si>
  <si>
    <t>=NF($H188,"Unit Fees")</t>
  </si>
  <si>
    <t>=NF($H180,"No.")</t>
  </si>
  <si>
    <t>=NF($H180,"Quantity on Hand")</t>
  </si>
  <si>
    <t>=NF($H180,"Qty. on Sales Order")</t>
  </si>
  <si>
    <t>=NF($H180,"Allocation Quantity (Base)")</t>
  </si>
  <si>
    <t>=NF($H180,"Description")</t>
  </si>
  <si>
    <t>=NF($H180,"Pack Size")</t>
  </si>
  <si>
    <t>=NF($H180,"FBC Package Type Code")</t>
  </si>
  <si>
    <t>=NF($H180,"FBC Storage Requirement Code")</t>
  </si>
  <si>
    <t>=NF($H180,"Inventory Posting Group")</t>
  </si>
  <si>
    <t>=NF($H180,"Gross Weight")</t>
  </si>
  <si>
    <t>=NF($H180,"Unit Fees")</t>
  </si>
  <si>
    <t>=NF($H174,"No.")</t>
  </si>
  <si>
    <t>=NF($H175,"No.")</t>
  </si>
  <si>
    <t>=NF($H174,"Quantity on Hand")</t>
  </si>
  <si>
    <t>=NF($H175,"Quantity on Hand")</t>
  </si>
  <si>
    <t>=NF($H174,"Qty. on Sales Order")</t>
  </si>
  <si>
    <t>=NF($H175,"Qty. on Sales Order")</t>
  </si>
  <si>
    <t>=NF($H174,"Allocation Quantity (Base)")</t>
  </si>
  <si>
    <t>=NF($H175,"Allocation Quantity (Base)")</t>
  </si>
  <si>
    <t>=NF($H174,"Description")</t>
  </si>
  <si>
    <t>=NF($H175,"Description")</t>
  </si>
  <si>
    <t>=NF($H174,"Pack Size")</t>
  </si>
  <si>
    <t>=NF($H175,"Pack Size")</t>
  </si>
  <si>
    <t>=NF($H174,"FBC Package Type Code")</t>
  </si>
  <si>
    <t>=NF($H175,"FBC Package Type Code")</t>
  </si>
  <si>
    <t>=NF($H174,"FBC Storage Requirement Code")</t>
  </si>
  <si>
    <t>=NF($H175,"FBC Storage Requirement Code")</t>
  </si>
  <si>
    <t>=NF($H174,"Inventory Posting Group")</t>
  </si>
  <si>
    <t>=NF($H175,"Inventory Posting Group")</t>
  </si>
  <si>
    <t>=NF($H174,"Gross Weight")</t>
  </si>
  <si>
    <t>=NF($H175,"Gross Weight")</t>
  </si>
  <si>
    <t>=NF($H174,"Unit Fees")</t>
  </si>
  <si>
    <t>=NF($H175,"Unit Fees")</t>
  </si>
  <si>
    <t>=NF($H148,"No.")</t>
  </si>
  <si>
    <t>=NF($H148,"Quantity on Hand")</t>
  </si>
  <si>
    <t>=NF($H148,"Qty. on Sales Order")</t>
  </si>
  <si>
    <t>=NF($H148,"Allocation Quantity (Base)")</t>
  </si>
  <si>
    <t>=NF($H148,"Description")</t>
  </si>
  <si>
    <t>=NF($H148,"Pack Size")</t>
  </si>
  <si>
    <t>=NF($H148,"FBC Package Type Code")</t>
  </si>
  <si>
    <t>=NF($H148,"FBC Storage Requirement Code")</t>
  </si>
  <si>
    <t>=NF($H148,"Inventory Posting Group")</t>
  </si>
  <si>
    <t>=NF($H148,"Gross Weight")</t>
  </si>
  <si>
    <t>=NF($H148,"Unit Fees")</t>
  </si>
  <si>
    <t>=NF($H133,"No.")</t>
  </si>
  <si>
    <t>=NF($H134,"No.")</t>
  </si>
  <si>
    <t>=NF($H133,"Quantity on Hand")</t>
  </si>
  <si>
    <t>=NF($H134,"Quantity on Hand")</t>
  </si>
  <si>
    <t>=NF($H133,"Qty. on Sales Order")</t>
  </si>
  <si>
    <t>=NF($H134,"Qty. on Sales Order")</t>
  </si>
  <si>
    <t>=NF($H133,"Allocation Quantity (Base)")</t>
  </si>
  <si>
    <t>=NF($H134,"Allocation Quantity (Base)")</t>
  </si>
  <si>
    <t>=NF($H133,"Description")</t>
  </si>
  <si>
    <t>=NF($H134,"Description")</t>
  </si>
  <si>
    <t>=NF($H133,"Pack Size")</t>
  </si>
  <si>
    <t>=NF($H134,"Pack Size")</t>
  </si>
  <si>
    <t>=NF($H133,"FBC Package Type Code")</t>
  </si>
  <si>
    <t>=NF($H134,"FBC Package Type Code")</t>
  </si>
  <si>
    <t>=NF($H133,"FBC Storage Requirement Code")</t>
  </si>
  <si>
    <t>=NF($H134,"FBC Storage Requirement Code")</t>
  </si>
  <si>
    <t>=NF($H133,"Inventory Posting Group")</t>
  </si>
  <si>
    <t>=NF($H134,"Inventory Posting Group")</t>
  </si>
  <si>
    <t>=NF($H133,"Gross Weight")</t>
  </si>
  <si>
    <t>=NF($H134,"Gross Weight")</t>
  </si>
  <si>
    <t>=NF($H133,"Unit Fees")</t>
  </si>
  <si>
    <t>=NF($H134,"Unit Fees")</t>
  </si>
  <si>
    <t>=NF($H125,"No.")</t>
  </si>
  <si>
    <t>=NF($H126,"No.")</t>
  </si>
  <si>
    <t>=NF($H125,"Quantity on Hand")</t>
  </si>
  <si>
    <t>=NF($H126,"Quantity on Hand")</t>
  </si>
  <si>
    <t>=NF($H125,"Qty. on Sales Order")</t>
  </si>
  <si>
    <t>=NF($H126,"Qty. on Sales Order")</t>
  </si>
  <si>
    <t>=NF($H125,"Allocation Quantity (Base)")</t>
  </si>
  <si>
    <t>=NF($H126,"Allocation Quantity (Base)")</t>
  </si>
  <si>
    <t>=NF($H125,"Description")</t>
  </si>
  <si>
    <t>=NF($H126,"Description")</t>
  </si>
  <si>
    <t>=NF($H125,"Pack Size")</t>
  </si>
  <si>
    <t>=NF($H126,"Pack Size")</t>
  </si>
  <si>
    <t>=NF($H125,"FBC Package Type Code")</t>
  </si>
  <si>
    <t>=NF($H126,"FBC Package Type Code")</t>
  </si>
  <si>
    <t>=NF($H125,"FBC Storage Requirement Code")</t>
  </si>
  <si>
    <t>=NF($H126,"FBC Storage Requirement Code")</t>
  </si>
  <si>
    <t>=NF($H125,"Inventory Posting Group")</t>
  </si>
  <si>
    <t>=NF($H126,"Inventory Posting Group")</t>
  </si>
  <si>
    <t>=NF($H125,"Gross Weight")</t>
  </si>
  <si>
    <t>=NF($H126,"Gross Weight")</t>
  </si>
  <si>
    <t>=NF($H125,"Unit Fees")</t>
  </si>
  <si>
    <t>=NF($H126,"Unit Fees")</t>
  </si>
  <si>
    <t>=NF($H107,"No.")</t>
  </si>
  <si>
    <t>=NF($H107,"Quantity on Hand")</t>
  </si>
  <si>
    <t>=NF($H107,"Qty. on Sales Order")</t>
  </si>
  <si>
    <t>=NF($H107,"Allocation Quantity (Base)")</t>
  </si>
  <si>
    <t>=NF($H107,"Description")</t>
  </si>
  <si>
    <t>=NF($H107,"Pack Size")</t>
  </si>
  <si>
    <t>=NF($H107,"FBC Package Type Code")</t>
  </si>
  <si>
    <t>=NF($H107,"FBC Storage Requirement Code")</t>
  </si>
  <si>
    <t>=NF($H107,"Inventory Posting Group")</t>
  </si>
  <si>
    <t>=NF($H107,"Gross Weight")</t>
  </si>
  <si>
    <t>=NF($H107,"Unit Fees")</t>
  </si>
  <si>
    <t>=NF($H81,"No.")</t>
  </si>
  <si>
    <t>=NF($H82,"No.")</t>
  </si>
  <si>
    <t>=NF($H81,"Quantity on Hand")</t>
  </si>
  <si>
    <t>=NF($H82,"Quantity on Hand")</t>
  </si>
  <si>
    <t>=NF($H81,"Qty. on Sales Order")</t>
  </si>
  <si>
    <t>=NF($H82,"Qty. on Sales Order")</t>
  </si>
  <si>
    <t>=NF($H81,"Allocation Quantity (Base)")</t>
  </si>
  <si>
    <t>=NF($H82,"Allocation Quantity (Base)")</t>
  </si>
  <si>
    <t>=NF($H81,"Description")</t>
  </si>
  <si>
    <t>=NF($H82,"Description")</t>
  </si>
  <si>
    <t>=NF($H81,"Pack Size")</t>
  </si>
  <si>
    <t>=NF($H82,"Pack Size")</t>
  </si>
  <si>
    <t>=NF($H81,"FBC Package Type Code")</t>
  </si>
  <si>
    <t>=NF($H82,"FBC Package Type Code")</t>
  </si>
  <si>
    <t>=NF($H81,"FBC Storage Requirement Code")</t>
  </si>
  <si>
    <t>=NF($H82,"FBC Storage Requirement Code")</t>
  </si>
  <si>
    <t>=NF($H81,"Inventory Posting Group")</t>
  </si>
  <si>
    <t>=NF($H82,"Inventory Posting Group")</t>
  </si>
  <si>
    <t>=NF($H81,"Gross Weight")</t>
  </si>
  <si>
    <t>=NF($H82,"Gross Weight")</t>
  </si>
  <si>
    <t>=NF($H81,"Unit Fees")</t>
  </si>
  <si>
    <t>=NF($H82,"Unit Fees")</t>
  </si>
  <si>
    <t>=NF($H59,"No.")</t>
  </si>
  <si>
    <t>=NF($H59,"Quantity on Hand")</t>
  </si>
  <si>
    <t>=NF($H59,"Qty. on Sales Order")</t>
  </si>
  <si>
    <t>=NF($H59,"Allocation Quantity (Base)")</t>
  </si>
  <si>
    <t>=NF($H59,"Description")</t>
  </si>
  <si>
    <t>=NF($H59,"Pack Size")</t>
  </si>
  <si>
    <t>=NF($H59,"FBC Package Type Code")</t>
  </si>
  <si>
    <t>=NF($H59,"FBC Storage Requirement Code")</t>
  </si>
  <si>
    <t>=NF($H59,"Inventory Posting Group")</t>
  </si>
  <si>
    <t>=NF($H59,"Gross Weight")</t>
  </si>
  <si>
    <t>=NF($H59,"Unit Fees")</t>
  </si>
  <si>
    <t>=NF($H42,"No.")</t>
  </si>
  <si>
    <t>=NF($H42,"Quantity on Hand")</t>
  </si>
  <si>
    <t>=NF($H42,"Qty. on Sales Order")</t>
  </si>
  <si>
    <t>=NF($H42,"Allocation Quantity (Base)")</t>
  </si>
  <si>
    <t>=NF($H42,"Description")</t>
  </si>
  <si>
    <t>=NF($H42,"Pack Size")</t>
  </si>
  <si>
    <t>=NF($H42,"FBC Package Type Code")</t>
  </si>
  <si>
    <t>=NF($H42,"FBC Storage Requirement Code")</t>
  </si>
  <si>
    <t>=NF($H42,"Inventory Posting Group")</t>
  </si>
  <si>
    <t>=NF($H42,"Gross Weight")</t>
  </si>
  <si>
    <t>=NF($H42,"Unit Fees")</t>
  </si>
  <si>
    <t>=NF($H36,"No.")</t>
  </si>
  <si>
    <t>=NF($H36,"Quantity on Hand")</t>
  </si>
  <si>
    <t>=NF($H36,"Qty. on Sales Order")</t>
  </si>
  <si>
    <t>=NF($H36,"Allocation Quantity (Base)")</t>
  </si>
  <si>
    <t>=NF($H36,"Description")</t>
  </si>
  <si>
    <t>=NF($H36,"Pack Size")</t>
  </si>
  <si>
    <t>=NF($H36,"FBC Package Type Code")</t>
  </si>
  <si>
    <t>=NF($H36,"FBC Storage Requirement Code")</t>
  </si>
  <si>
    <t>=NF($H36,"Inventory Posting Group")</t>
  </si>
  <si>
    <t>=NF($H36,"Gross Weight")</t>
  </si>
  <si>
    <t>=NF($H36,"Unit Fees")</t>
  </si>
  <si>
    <t>=G58</t>
  </si>
  <si>
    <t>=NL(,"Fbc Product Type","Description","Code",$G58)</t>
  </si>
  <si>
    <t>=NL("Rows","Item",,"FBC Product Type Code","@@"&amp;$F59,"Quantity on Hand","&gt;0","Shopping List",$C$2,"Inventory Posting Group",$C$3,"+Description","*","=nf(,""quantity on hand"") - nf(,""qty. on sales order"")","&gt;0","FBC Storage Requirement Code",$C$4)</t>
  </si>
  <si>
    <t>=IF(N61=0,"hide","")</t>
  </si>
  <si>
    <t>=F60</t>
  </si>
  <si>
    <t>=IFERROR(K61-L61-M61," ")</t>
  </si>
  <si>
    <t>=IFERROR($U61*$J61," ")</t>
  </si>
  <si>
    <t>=IF(N62=0,"hide","")</t>
  </si>
  <si>
    <t>=F61</t>
  </si>
  <si>
    <t>=IFERROR(K62-L62-M62," ")</t>
  </si>
  <si>
    <t>=IFERROR($U62*$J62," ")</t>
  </si>
  <si>
    <t>=G78</t>
  </si>
  <si>
    <t>=NL(,"Fbc Product Type","Description","Code",$G78)</t>
  </si>
  <si>
    <t>=NL("Rows","Item",,"FBC Product Type Code","@@"&amp;$F79,"Quantity on Hand","&gt;0","Shopping List",$C$2,"Inventory Posting Group",$C$3,"+Description","*","=nf(,""quantity on hand"") - nf(,""qty. on sales order"")","&gt;0","FBC Storage Requirement Code",$C$4)</t>
  </si>
  <si>
    <t>=IF(N84=0,"hide","")</t>
  </si>
  <si>
    <t>=F83</t>
  </si>
  <si>
    <t>=IFERROR(K84-L84-M84," ")</t>
  </si>
  <si>
    <t>=IFERROR($U84*$J84," ")</t>
  </si>
  <si>
    <t>=IF(N85=0,"hide","")</t>
  </si>
  <si>
    <t>=F84</t>
  </si>
  <si>
    <t>=IFERROR(K85-L85-M85," ")</t>
  </si>
  <si>
    <t>=IFERROR($U85*$J85," ")</t>
  </si>
  <si>
    <t>="""Ceres 5 "",""SHNLFB - Duluth - LIVE"",""27"",""1"",""12363"""</t>
  </si>
  <si>
    <t>=G90</t>
  </si>
  <si>
    <t>=NL(,"Fbc Product Type","Description","Code",$G90)</t>
  </si>
  <si>
    <t>=NL("Rows","Item",,"FBC Product Type Code","@@"&amp;$F91,"Quantity on Hand","&gt;0","Shopping List",$C$2,"Inventory Posting Group",$C$3,"+Description","*","=nf(,""quantity on hand"") - nf(,""qty. on sales order"")","&gt;0","FBC Storage Requirement Code",$C$4)</t>
  </si>
  <si>
    <t>=G93</t>
  </si>
  <si>
    <t>=NL(,"Fbc Product Type","Description","Code",$G93)</t>
  </si>
  <si>
    <t>=NL("Rows","Item",,"FBC Product Type Code","@@"&amp;$F94,"Quantity on Hand","&gt;0","Shopping List",$C$2,"Inventory Posting Group",$C$3,"+Description","*","=nf(,""quantity on hand"") - nf(,""qty. on sales order"")","&gt;0","FBC Storage Requirement Code",$C$4)</t>
  </si>
  <si>
    <t>=IF(N95=0,"hide","")</t>
  </si>
  <si>
    <t>=F94</t>
  </si>
  <si>
    <t>=NF($H95,"No.")</t>
  </si>
  <si>
    <t>=NF($H95,"Quantity on Hand")</t>
  </si>
  <si>
    <t>=NF($H95,"Qty. on Sales Order")</t>
  </si>
  <si>
    <t>=NF($H95,"Allocation Quantity (Base)")</t>
  </si>
  <si>
    <t>=IFERROR(K95-L95-M95," ")</t>
  </si>
  <si>
    <t>=NF($H95,"Description")</t>
  </si>
  <si>
    <t>=NF($H95,"Pack Size")</t>
  </si>
  <si>
    <t>=NF($H95,"FBC Package Type Code")</t>
  </si>
  <si>
    <t>=NF($H95,"FBC Storage Requirement Code")</t>
  </si>
  <si>
    <t>=NF($H95,"Inventory Posting Group")</t>
  </si>
  <si>
    <t>=NF($H95,"Gross Weight")</t>
  </si>
  <si>
    <t>=NF($H95,"Unit Fees")</t>
  </si>
  <si>
    <t>=IFERROR($U95*$J95," ")</t>
  </si>
  <si>
    <t>=G97</t>
  </si>
  <si>
    <t>=NL(,"Fbc Product Type","Description","Code",$G97)</t>
  </si>
  <si>
    <t>=IF(N98=0,"hide","")</t>
  </si>
  <si>
    <t>=F97</t>
  </si>
  <si>
    <t>=NL("Rows","Item",,"FBC Product Type Code","@@"&amp;$F98,"Quantity on Hand","&gt;0","Shopping List",$C$2,"Inventory Posting Group",$C$3,"+Description","*","=nf(,""quantity on hand"") - nf(,""qty. on sales order"")","&gt;0","FBC Storage Requirement Code",$C$4)</t>
  </si>
  <si>
    <t>=IFERROR(K98-L98-M98," ")</t>
  </si>
  <si>
    <t>=IFERROR($U98*$J98," ")</t>
  </si>
  <si>
    <t>=IF(N99=0,"hide","")</t>
  </si>
  <si>
    <t>=F98</t>
  </si>
  <si>
    <t>=IFERROR(K99-L99-M99," ")</t>
  </si>
  <si>
    <t>=IFERROR($U99*$J99," ")</t>
  </si>
  <si>
    <t>=IF(N102=0,"hide","")</t>
  </si>
  <si>
    <t>=F101</t>
  </si>
  <si>
    <t>=IFERROR(K102-L102-M102," ")</t>
  </si>
  <si>
    <t>=IFERROR($U102*$J102," ")</t>
  </si>
  <si>
    <t>=IF(N103=0,"hide","")</t>
  </si>
  <si>
    <t>=F102</t>
  </si>
  <si>
    <t>=IFERROR(K103-L103-M103," ")</t>
  </si>
  <si>
    <t>=IFERROR($U103*$J103," ")</t>
  </si>
  <si>
    <t>=G105</t>
  </si>
  <si>
    <t>=NL(,"Fbc Product Type","Description","Code",$G105)</t>
  </si>
  <si>
    <t>=NL("Rows","Item",,"FBC Product Type Code","@@"&amp;$F106,"Quantity on Hand","&gt;0","Shopping List",$C$2,"Inventory Posting Group",$C$3,"+Description","*","=nf(,""quantity on hand"") - nf(,""qty. on sales order"")","&gt;0","FBC Storage Requirement Code",$C$4)</t>
  </si>
  <si>
    <t>=G109</t>
  </si>
  <si>
    <t>=NL(,"Fbc Product Type","Description","Code",$G109)</t>
  </si>
  <si>
    <t>=IF(N110=0,"hide","")</t>
  </si>
  <si>
    <t>=F109</t>
  </si>
  <si>
    <t>=NL("Rows","Item",,"FBC Product Type Code","@@"&amp;$F110,"Quantity on Hand","&gt;0","Shopping List",$C$2,"Inventory Posting Group",$C$3,"+Description","*","=nf(,""quantity on hand"") - nf(,""qty. on sales order"")","&gt;0","FBC Storage Requirement Code",$C$4)</t>
  </si>
  <si>
    <t>=IFERROR(K110-L110-M110," ")</t>
  </si>
  <si>
    <t>=IFERROR($U110*$J110," ")</t>
  </si>
  <si>
    <t>=IF(N111=0,"hide","")</t>
  </si>
  <si>
    <t>=F110</t>
  </si>
  <si>
    <t>=IFERROR(K111-L111-M111," ")</t>
  </si>
  <si>
    <t>=IFERROR($U111*$J111," ")</t>
  </si>
  <si>
    <t>=IF(N114=0,"hide","")</t>
  </si>
  <si>
    <t>=F113</t>
  </si>
  <si>
    <t>=IFERROR(K114-L114-M114," ")</t>
  </si>
  <si>
    <t>=IFERROR($U114*$J114," ")</t>
  </si>
  <si>
    <t>=IF(N115=0,"hide","")</t>
  </si>
  <si>
    <t>=F114</t>
  </si>
  <si>
    <t>=IFERROR(K115-L115-M115," ")</t>
  </si>
  <si>
    <t>=IFERROR($U115*$J115," ")</t>
  </si>
  <si>
    <t>=G123</t>
  </si>
  <si>
    <t>=NL(,"Fbc Product Type","Description","Code",$G123)</t>
  </si>
  <si>
    <t>=NL("Rows","Item",,"FBC Product Type Code","@@"&amp;$F124,"Quantity on Hand","&gt;0","Shopping List",$C$2,"Inventory Posting Group",$C$3,"+Description","*","=nf(,""quantity on hand"") - nf(,""qty. on sales order"")","&gt;0","FBC Storage Requirement Code",$C$4)</t>
  </si>
  <si>
    <t>=IF(N128=0,"hide","")</t>
  </si>
  <si>
    <t>=F127</t>
  </si>
  <si>
    <t>=IFERROR(K128-L128-M128," ")</t>
  </si>
  <si>
    <t>=IFERROR($U128*$J128," ")</t>
  </si>
  <si>
    <t>=IF(N129=0,"hide","")</t>
  </si>
  <si>
    <t>=F128</t>
  </si>
  <si>
    <t>=IFERROR(K129-L129-M129," ")</t>
  </si>
  <si>
    <t>=IFERROR($U129*$J129," ")</t>
  </si>
  <si>
    <t>=G131</t>
  </si>
  <si>
    <t>=NL(,"Fbc Product Type","Description","Code",$G131)</t>
  </si>
  <si>
    <t>=NL("Rows","Item",,"FBC Product Type Code","@@"&amp;$F132,"Quantity on Hand","&gt;0","Shopping List",$C$2,"Inventory Posting Group",$C$3,"+Description","*","=nf(,""quantity on hand"") - nf(,""qty. on sales order"")","&gt;0","FBC Storage Requirement Code",$C$4)</t>
  </si>
  <si>
    <t>=IF(N140=0,"hide","")</t>
  </si>
  <si>
    <t>=F139</t>
  </si>
  <si>
    <t>=IFERROR(K140-L140-M140," ")</t>
  </si>
  <si>
    <t>=IFERROR($U140*$J140," ")</t>
  </si>
  <si>
    <t>=IF(N141=0,"hide","")</t>
  </si>
  <si>
    <t>=F140</t>
  </si>
  <si>
    <t>=IFERROR(K141-L141-M141," ")</t>
  </si>
  <si>
    <t>=IFERROR($U141*$J141," ")</t>
  </si>
  <si>
    <t>=G143</t>
  </si>
  <si>
    <t>=NL(,"Fbc Product Type","Description","Code",$G143)</t>
  </si>
  <si>
    <t>=NL("Rows","Item",,"FBC Product Type Code","@@"&amp;$F144,"Quantity on Hand","&gt;0","Shopping List",$C$2,"Inventory Posting Group",$C$3,"+Description","*","=nf(,""quantity on hand"") - nf(,""qty. on sales order"")","&gt;0","FBC Storage Requirement Code",$C$4)</t>
  </si>
  <si>
    <t>=G146</t>
  </si>
  <si>
    <t>=NL(,"Fbc Product Type","Description","Code",$G146)</t>
  </si>
  <si>
    <t>=NL("Rows","Item",,"FBC Product Type Code","@@"&amp;$F147,"Quantity on Hand","&gt;0","Shopping List",$C$2,"Inventory Posting Group",$C$3,"+Description","*","=nf(,""quantity on hand"") - nf(,""qty. on sales order"")","&gt;0","FBC Storage Requirement Code",$C$4)</t>
  </si>
  <si>
    <t>=G150</t>
  </si>
  <si>
    <t>=NL(,"Fbc Product Type","Description","Code",$G150)</t>
  </si>
  <si>
    <t>=IF(N151=0,"hide","")</t>
  </si>
  <si>
    <t>=F150</t>
  </si>
  <si>
    <t>=NL("Rows","Item",,"FBC Product Type Code","@@"&amp;$F151,"Quantity on Hand","&gt;0","Shopping List",$C$2,"Inventory Posting Group",$C$3,"+Description","*","=nf(,""quantity on hand"") - nf(,""qty. on sales order"")","&gt;0","FBC Storage Requirement Code",$C$4)</t>
  </si>
  <si>
    <t>=IFERROR(K151-L151-M151," ")</t>
  </si>
  <si>
    <t>=IFERROR($U151*$J151," ")</t>
  </si>
  <si>
    <t>=G155</t>
  </si>
  <si>
    <t>=NL(,"Fbc Product Type","Description","Code",$G155)</t>
  </si>
  <si>
    <t>=IF(N156=0,"hide","")</t>
  </si>
  <si>
    <t>=F155</t>
  </si>
  <si>
    <t>=NL("Rows","Item",,"FBC Product Type Code","@@"&amp;$F156,"Quantity on Hand","&gt;0","Shopping List",$C$2,"Inventory Posting Group",$C$3,"+Description","*","=nf(,""quantity on hand"") - nf(,""qty. on sales order"")","&gt;0","FBC Storage Requirement Code",$C$4)</t>
  </si>
  <si>
    <t>=NF($H156,"No.")</t>
  </si>
  <si>
    <t>=NF($H156,"Quantity on Hand")</t>
  </si>
  <si>
    <t>=NF($H156,"Qty. on Sales Order")</t>
  </si>
  <si>
    <t>=NF($H156,"Allocation Quantity (Base)")</t>
  </si>
  <si>
    <t>=IFERROR(K156-L156-M156," ")</t>
  </si>
  <si>
    <t>=NF($H156,"Description")</t>
  </si>
  <si>
    <t>=NF($H156,"Pack Size")</t>
  </si>
  <si>
    <t>=NF($H156,"FBC Package Type Code")</t>
  </si>
  <si>
    <t>=NF($H156,"FBC Storage Requirement Code")</t>
  </si>
  <si>
    <t>=NF($H156,"Inventory Posting Group")</t>
  </si>
  <si>
    <t>=NF($H156,"Gross Weight")</t>
  </si>
  <si>
    <t>=NF($H156,"Unit Fees")</t>
  </si>
  <si>
    <t>=IFERROR($U156*$J156," ")</t>
  </si>
  <si>
    <t>=G158</t>
  </si>
  <si>
    <t>=NL(,"Fbc Product Type","Description","Code",$G158)</t>
  </si>
  <si>
    <t>=IF(N159=0,"hide","")</t>
  </si>
  <si>
    <t>=F158</t>
  </si>
  <si>
    <t>=NL("Rows","Item",,"FBC Product Type Code","@@"&amp;$F159,"Quantity on Hand","&gt;0","Shopping List",$C$2,"Inventory Posting Group",$C$3,"+Description","*","=nf(,""quantity on hand"") - nf(,""qty. on sales order"")","&gt;0","FBC Storage Requirement Code",$C$4)</t>
  </si>
  <si>
    <t>=IFERROR(K159-L159-M159," ")</t>
  </si>
  <si>
    <t>=IFERROR($U159*$J159," ")</t>
  </si>
  <si>
    <t>=IF(N160=0,"hide","")</t>
  </si>
  <si>
    <t>=F159</t>
  </si>
  <si>
    <t>=IFERROR(K160-L160-M160," ")</t>
  </si>
  <si>
    <t>=IFERROR($U160*$J160," ")</t>
  </si>
  <si>
    <t>=G163</t>
  </si>
  <si>
    <t>=NL(,"Fbc Product Type","Description","Code",$G163)</t>
  </si>
  <si>
    <t>=IF(N164=0,"hide","")</t>
  </si>
  <si>
    <t>=F163</t>
  </si>
  <si>
    <t>=NL("Rows","Item",,"FBC Product Type Code","@@"&amp;$F164,"Quantity on Hand","&gt;0","Shopping List",$C$2,"Inventory Posting Group",$C$3,"+Description","*","=nf(,""quantity on hand"") - nf(,""qty. on sales order"")","&gt;0","FBC Storage Requirement Code",$C$4)</t>
  </si>
  <si>
    <t>=NF($H164,"No.")</t>
  </si>
  <si>
    <t>=NF($H164,"Quantity on Hand")</t>
  </si>
  <si>
    <t>=NF($H164,"Qty. on Sales Order")</t>
  </si>
  <si>
    <t>=NF($H164,"Allocation Quantity (Base)")</t>
  </si>
  <si>
    <t>=IFERROR(K164-L164-M164," ")</t>
  </si>
  <si>
    <t>=NF($H164,"Description")</t>
  </si>
  <si>
    <t>=NF($H164,"Pack Size")</t>
  </si>
  <si>
    <t>=NF($H164,"FBC Package Type Code")</t>
  </si>
  <si>
    <t>=NF($H164,"FBC Storage Requirement Code")</t>
  </si>
  <si>
    <t>=NF($H164,"Inventory Posting Group")</t>
  </si>
  <si>
    <t>=NF($H164,"Gross Weight")</t>
  </si>
  <si>
    <t>=NF($H164,"Unit Fees")</t>
  </si>
  <si>
    <t>=IFERROR($U164*$J164," ")</t>
  </si>
  <si>
    <t>=G167</t>
  </si>
  <si>
    <t>=NL(,"Fbc Product Type","Description","Code",$G167)</t>
  </si>
  <si>
    <t>=IF(N168=0,"hide","")</t>
  </si>
  <si>
    <t>=F167</t>
  </si>
  <si>
    <t>=NL("Rows","Item",,"FBC Product Type Code","@@"&amp;$F168,"Quantity on Hand","&gt;0","Shopping List",$C$2,"Inventory Posting Group",$C$3,"+Description","*","=nf(,""quantity on hand"") - nf(,""qty. on sales order"")","&gt;0","FBC Storage Requirement Code",$C$4)</t>
  </si>
  <si>
    <t>=IFERROR(K168-L168-M168," ")</t>
  </si>
  <si>
    <t>=IFERROR($U168*$J168," ")</t>
  </si>
  <si>
    <t>=IF(N169=0,"hide","")</t>
  </si>
  <si>
    <t>=F168</t>
  </si>
  <si>
    <t>=IFERROR(K169-L169-M169," ")</t>
  </si>
  <si>
    <t>=IFERROR($U169*$J169," ")</t>
  </si>
  <si>
    <t>=IF(N171=0,"hide","")</t>
  </si>
  <si>
    <t>=F170</t>
  </si>
  <si>
    <t>=IFERROR(K171-L171-M171," ")</t>
  </si>
  <si>
    <t>=IFERROR($U171*$J171," ")</t>
  </si>
  <si>
    <t>=IF(N172=0,"hide","")</t>
  </si>
  <si>
    <t>=F171</t>
  </si>
  <si>
    <t>=IFERROR(K172-L172-M172," ")</t>
  </si>
  <si>
    <t>=IFERROR($U172*$J172," ")</t>
  </si>
  <si>
    <t>=IF(N176=0,"hide","")</t>
  </si>
  <si>
    <t>=F175</t>
  </si>
  <si>
    <t>=IFERROR(K176-L176-M176," ")</t>
  </si>
  <si>
    <t>=IFERROR($U176*$J176," ")</t>
  </si>
  <si>
    <t>=IF(N177=0,"hide","")</t>
  </si>
  <si>
    <t>=F176</t>
  </si>
  <si>
    <t>=IFERROR(K177-L177-M177," ")</t>
  </si>
  <si>
    <t>=IFERROR($U177*$J177," ")</t>
  </si>
  <si>
    <t>=G179</t>
  </si>
  <si>
    <t>=NL(,"Fbc Product Type","Description","Code",$G179)</t>
  </si>
  <si>
    <t>=NL("Rows","Item",,"FBC Product Type Code","@@"&amp;$F180,"Quantity on Hand","&gt;0","Shopping List",$C$2,"Inventory Posting Group",$C$3,"+Description","*","=nf(,""quantity on hand"") - nf(,""qty. on sales order"")","&gt;0","FBC Storage Requirement Code",$C$4)</t>
  </si>
  <si>
    <t>=IF(N181=0,"hide","")</t>
  </si>
  <si>
    <t>=F180</t>
  </si>
  <si>
    <t>=IFERROR(K181-L181-M181," ")</t>
  </si>
  <si>
    <t>=IFERROR($U181*$J181," ")</t>
  </si>
  <si>
    <t>=IF(N182=0,"hide","")</t>
  </si>
  <si>
    <t>=F181</t>
  </si>
  <si>
    <t>=IFERROR(K182-L182-M182," ")</t>
  </si>
  <si>
    <t>=IFERROR($U182*$J182," ")</t>
  </si>
  <si>
    <t>=IF(N195=0,"hide","")</t>
  </si>
  <si>
    <t>=F194</t>
  </si>
  <si>
    <t>=IFERROR(K195-L195-M195," ")</t>
  </si>
  <si>
    <t>=IFERROR($U195*$J195," ")</t>
  </si>
  <si>
    <t>=IF(N196=0,"hide","")</t>
  </si>
  <si>
    <t>=F195</t>
  </si>
  <si>
    <t>=IFERROR(K196-L196-M196," ")</t>
  </si>
  <si>
    <t>=IFERROR($U196*$J196," ")</t>
  </si>
  <si>
    <t>=G207</t>
  </si>
  <si>
    <t>=NL(,"Fbc Product Type","Description","Code",$G207)</t>
  </si>
  <si>
    <t>=NL("Rows","Item",,"FBC Product Type Code","@@"&amp;$F208,"Quantity on Hand","&gt;0","Shopping List",$C$2,"Inventory Posting Group",$C$3,"+Description","*","=nf(,""quantity on hand"") - nf(,""qty. on sales order"")","&gt;0","FBC Storage Requirement Code",$C$4)</t>
  </si>
  <si>
    <t>=G221</t>
  </si>
  <si>
    <t>=NL(,"Fbc Product Type","Description","Code",$G221)</t>
  </si>
  <si>
    <t>=NL("Rows","Item",,"FBC Product Type Code","@@"&amp;$F222,"Quantity on Hand","&gt;0","Shopping List",$C$2,"Inventory Posting Group",$C$3,"+Description","*","=nf(,""quantity on hand"") - nf(,""qty. on sales order"")","&gt;0","FBC Storage Requirement Code",$C$4)</t>
  </si>
  <si>
    <t>=G225</t>
  </si>
  <si>
    <t>=NL(,"Fbc Product Type","Description","Code",$G225)</t>
  </si>
  <si>
    <t>=IF(N226=0,"hide","")</t>
  </si>
  <si>
    <t>=F225</t>
  </si>
  <si>
    <t>=NL("Rows","Item",,"FBC Product Type Code","@@"&amp;$F226,"Quantity on Hand","&gt;0","Shopping List",$C$2,"Inventory Posting Group",$C$3,"+Description","*","=nf(,""quantity on hand"") - nf(,""qty. on sales order"")","&gt;0","FBC Storage Requirement Code",$C$4)</t>
  </si>
  <si>
    <t>=NF($H226,"No.")</t>
  </si>
  <si>
    <t>=NF($H226,"Quantity on Hand")</t>
  </si>
  <si>
    <t>=NF($H226,"Qty. on Sales Order")</t>
  </si>
  <si>
    <t>=NF($H226,"Allocation Quantity (Base)")</t>
  </si>
  <si>
    <t>=IFERROR(K226-L226-M226," ")</t>
  </si>
  <si>
    <t>=NF($H226,"Description")</t>
  </si>
  <si>
    <t>=NF($H226,"Pack Size")</t>
  </si>
  <si>
    <t>=NF($H226,"FBC Package Type Code")</t>
  </si>
  <si>
    <t>=NF($H226,"FBC Storage Requirement Code")</t>
  </si>
  <si>
    <t>=NF($H226,"Inventory Posting Group")</t>
  </si>
  <si>
    <t>=NF($H226,"Gross Weight")</t>
  </si>
  <si>
    <t>=NF($H226,"Unit Fees")</t>
  </si>
  <si>
    <t>=IFERROR($U226*$J226," ")</t>
  </si>
  <si>
    <t>=NF($H181,"No.")</t>
  </si>
  <si>
    <t>=NF($H182,"No.")</t>
  </si>
  <si>
    <t>=NF($H195,"No.")</t>
  </si>
  <si>
    <t>=NF($H196,"No.")</t>
  </si>
  <si>
    <t>=NF($H181,"Quantity on Hand")</t>
  </si>
  <si>
    <t>=NF($H182,"Quantity on Hand")</t>
  </si>
  <si>
    <t>=NF($H195,"Quantity on Hand")</t>
  </si>
  <si>
    <t>=NF($H196,"Quantity on Hand")</t>
  </si>
  <si>
    <t>=NF($H181,"Qty. on Sales Order")</t>
  </si>
  <si>
    <t>=NF($H182,"Qty. on Sales Order")</t>
  </si>
  <si>
    <t>=NF($H195,"Qty. on Sales Order")</t>
  </si>
  <si>
    <t>=NF($H196,"Qty. on Sales Order")</t>
  </si>
  <si>
    <t>=NF($H181,"Allocation Quantity (Base)")</t>
  </si>
  <si>
    <t>=NF($H182,"Allocation Quantity (Base)")</t>
  </si>
  <si>
    <t>=NF($H195,"Allocation Quantity (Base)")</t>
  </si>
  <si>
    <t>=NF($H196,"Allocation Quantity (Base)")</t>
  </si>
  <si>
    <t>=NF($H181,"Description")</t>
  </si>
  <si>
    <t>=NF($H182,"Description")</t>
  </si>
  <si>
    <t>=NF($H195,"Description")</t>
  </si>
  <si>
    <t>=NF($H196,"Description")</t>
  </si>
  <si>
    <t>=NF($H181,"Pack Size")</t>
  </si>
  <si>
    <t>=NF($H182,"Pack Size")</t>
  </si>
  <si>
    <t>=NF($H195,"Pack Size")</t>
  </si>
  <si>
    <t>=NF($H196,"Pack Size")</t>
  </si>
  <si>
    <t>=NF($H181,"FBC Package Type Code")</t>
  </si>
  <si>
    <t>=NF($H182,"FBC Package Type Code")</t>
  </si>
  <si>
    <t>=NF($H195,"FBC Package Type Code")</t>
  </si>
  <si>
    <t>=NF($H196,"FBC Package Type Code")</t>
  </si>
  <si>
    <t>=NF($H181,"FBC Storage Requirement Code")</t>
  </si>
  <si>
    <t>=NF($H182,"FBC Storage Requirement Code")</t>
  </si>
  <si>
    <t>=NF($H195,"FBC Storage Requirement Code")</t>
  </si>
  <si>
    <t>=NF($H196,"FBC Storage Requirement Code")</t>
  </si>
  <si>
    <t>=NF($H181,"Inventory Posting Group")</t>
  </si>
  <si>
    <t>=NF($H182,"Inventory Posting Group")</t>
  </si>
  <si>
    <t>=NF($H195,"Inventory Posting Group")</t>
  </si>
  <si>
    <t>=NF($H196,"Inventory Posting Group")</t>
  </si>
  <si>
    <t>=NF($H181,"Gross Weight")</t>
  </si>
  <si>
    <t>=NF($H182,"Gross Weight")</t>
  </si>
  <si>
    <t>=NF($H195,"Gross Weight")</t>
  </si>
  <si>
    <t>=NF($H196,"Gross Weight")</t>
  </si>
  <si>
    <t>=NF($H181,"Unit Fees")</t>
  </si>
  <si>
    <t>=NF($H182,"Unit Fees")</t>
  </si>
  <si>
    <t>=NF($H195,"Unit Fees")</t>
  </si>
  <si>
    <t>=NF($H196,"Unit Fees")</t>
  </si>
  <si>
    <t>=NF($H168,"No.")</t>
  </si>
  <si>
    <t>=NF($H169,"No.")</t>
  </si>
  <si>
    <t>=NF($H171,"No.")</t>
  </si>
  <si>
    <t>=NF($H172,"No.")</t>
  </si>
  <si>
    <t>=NF($H176,"No.")</t>
  </si>
  <si>
    <t>=NF($H177,"No.")</t>
  </si>
  <si>
    <t>=NF($H168,"Quantity on Hand")</t>
  </si>
  <si>
    <t>=NF($H169,"Quantity on Hand")</t>
  </si>
  <si>
    <t>=NF($H171,"Quantity on Hand")</t>
  </si>
  <si>
    <t>=NF($H172,"Quantity on Hand")</t>
  </si>
  <si>
    <t>=NF($H176,"Quantity on Hand")</t>
  </si>
  <si>
    <t>=NF($H177,"Quantity on Hand")</t>
  </si>
  <si>
    <t>=NF($H168,"Qty. on Sales Order")</t>
  </si>
  <si>
    <t>=NF($H169,"Qty. on Sales Order")</t>
  </si>
  <si>
    <t>=NF($H171,"Qty. on Sales Order")</t>
  </si>
  <si>
    <t>=NF($H172,"Qty. on Sales Order")</t>
  </si>
  <si>
    <t>=NF($H176,"Qty. on Sales Order")</t>
  </si>
  <si>
    <t>=NF($H177,"Qty. on Sales Order")</t>
  </si>
  <si>
    <t>=NF($H168,"Allocation Quantity (Base)")</t>
  </si>
  <si>
    <t>=NF($H169,"Allocation Quantity (Base)")</t>
  </si>
  <si>
    <t>=NF($H171,"Allocation Quantity (Base)")</t>
  </si>
  <si>
    <t>=NF($H172,"Allocation Quantity (Base)")</t>
  </si>
  <si>
    <t>=NF($H176,"Allocation Quantity (Base)")</t>
  </si>
  <si>
    <t>=NF($H177,"Allocation Quantity (Base)")</t>
  </si>
  <si>
    <t>=NF($H168,"Description")</t>
  </si>
  <si>
    <t>=NF($H169,"Description")</t>
  </si>
  <si>
    <t>=NF($H171,"Description")</t>
  </si>
  <si>
    <t>=NF($H172,"Description")</t>
  </si>
  <si>
    <t>=NF($H176,"Description")</t>
  </si>
  <si>
    <t>=NF($H177,"Description")</t>
  </si>
  <si>
    <t>=NF($H168,"Pack Size")</t>
  </si>
  <si>
    <t>=NF($H169,"Pack Size")</t>
  </si>
  <si>
    <t>=NF($H171,"Pack Size")</t>
  </si>
  <si>
    <t>=NF($H172,"Pack Size")</t>
  </si>
  <si>
    <t>=NF($H176,"Pack Size")</t>
  </si>
  <si>
    <t>=NF($H177,"Pack Size")</t>
  </si>
  <si>
    <t>=NF($H168,"FBC Package Type Code")</t>
  </si>
  <si>
    <t>=NF($H169,"FBC Package Type Code")</t>
  </si>
  <si>
    <t>=NF($H171,"FBC Package Type Code")</t>
  </si>
  <si>
    <t>=NF($H172,"FBC Package Type Code")</t>
  </si>
  <si>
    <t>=NF($H176,"FBC Package Type Code")</t>
  </si>
  <si>
    <t>=NF($H177,"FBC Package Type Code")</t>
  </si>
  <si>
    <t>=NF($H168,"FBC Storage Requirement Code")</t>
  </si>
  <si>
    <t>=NF($H169,"FBC Storage Requirement Code")</t>
  </si>
  <si>
    <t>=NF($H171,"FBC Storage Requirement Code")</t>
  </si>
  <si>
    <t>=NF($H172,"FBC Storage Requirement Code")</t>
  </si>
  <si>
    <t>=NF($H176,"FBC Storage Requirement Code")</t>
  </si>
  <si>
    <t>=NF($H177,"FBC Storage Requirement Code")</t>
  </si>
  <si>
    <t>=NF($H168,"Inventory Posting Group")</t>
  </si>
  <si>
    <t>=NF($H169,"Inventory Posting Group")</t>
  </si>
  <si>
    <t>=NF($H171,"Inventory Posting Group")</t>
  </si>
  <si>
    <t>=NF($H172,"Inventory Posting Group")</t>
  </si>
  <si>
    <t>=NF($H176,"Inventory Posting Group")</t>
  </si>
  <si>
    <t>=NF($H177,"Inventory Posting Group")</t>
  </si>
  <si>
    <t>=NF($H168,"Gross Weight")</t>
  </si>
  <si>
    <t>=NF($H169,"Gross Weight")</t>
  </si>
  <si>
    <t>=NF($H171,"Gross Weight")</t>
  </si>
  <si>
    <t>=NF($H172,"Gross Weight")</t>
  </si>
  <si>
    <t>=NF($H176,"Gross Weight")</t>
  </si>
  <si>
    <t>=NF($H177,"Gross Weight")</t>
  </si>
  <si>
    <t>=NF($H168,"Unit Fees")</t>
  </si>
  <si>
    <t>=NF($H169,"Unit Fees")</t>
  </si>
  <si>
    <t>=NF($H171,"Unit Fees")</t>
  </si>
  <si>
    <t>=NF($H172,"Unit Fees")</t>
  </si>
  <si>
    <t>=NF($H176,"Unit Fees")</t>
  </si>
  <si>
    <t>=NF($H177,"Unit Fees")</t>
  </si>
  <si>
    <t>=NF($H159,"No.")</t>
  </si>
  <si>
    <t>=NF($H160,"No.")</t>
  </si>
  <si>
    <t>=NF($H159,"Quantity on Hand")</t>
  </si>
  <si>
    <t>=NF($H160,"Quantity on Hand")</t>
  </si>
  <si>
    <t>=NF($H159,"Qty. on Sales Order")</t>
  </si>
  <si>
    <t>=NF($H160,"Qty. on Sales Order")</t>
  </si>
  <si>
    <t>=NF($H159,"Allocation Quantity (Base)")</t>
  </si>
  <si>
    <t>=NF($H160,"Allocation Quantity (Base)")</t>
  </si>
  <si>
    <t>=NF($H159,"Description")</t>
  </si>
  <si>
    <t>=NF($H160,"Description")</t>
  </si>
  <si>
    <t>=NF($H159,"Pack Size")</t>
  </si>
  <si>
    <t>=NF($H160,"Pack Size")</t>
  </si>
  <si>
    <t>=NF($H159,"FBC Package Type Code")</t>
  </si>
  <si>
    <t>=NF($H160,"FBC Package Type Code")</t>
  </si>
  <si>
    <t>=NF($H159,"FBC Storage Requirement Code")</t>
  </si>
  <si>
    <t>=NF($H160,"FBC Storage Requirement Code")</t>
  </si>
  <si>
    <t>=NF($H159,"Inventory Posting Group")</t>
  </si>
  <si>
    <t>=NF($H160,"Inventory Posting Group")</t>
  </si>
  <si>
    <t>=NF($H159,"Gross Weight")</t>
  </si>
  <si>
    <t>=NF($H160,"Gross Weight")</t>
  </si>
  <si>
    <t>=NF($H159,"Unit Fees")</t>
  </si>
  <si>
    <t>=NF($H160,"Unit Fees")</t>
  </si>
  <si>
    <t>=NF($H151,"No.")</t>
  </si>
  <si>
    <t>=NF($H151,"Quantity on Hand")</t>
  </si>
  <si>
    <t>=NF($H151,"Qty. on Sales Order")</t>
  </si>
  <si>
    <t>=NF($H151,"Allocation Quantity (Base)")</t>
  </si>
  <si>
    <t>=NF($H151,"Description")</t>
  </si>
  <si>
    <t>=NF($H151,"Pack Size")</t>
  </si>
  <si>
    <t>=NF($H151,"FBC Package Type Code")</t>
  </si>
  <si>
    <t>=NF($H151,"FBC Storage Requirement Code")</t>
  </si>
  <si>
    <t>=NF($H151,"Inventory Posting Group")</t>
  </si>
  <si>
    <t>=NF($H151,"Gross Weight")</t>
  </si>
  <si>
    <t>=NF($H151,"Unit Fees")</t>
  </si>
  <si>
    <t>=NF($H140,"No.")</t>
  </si>
  <si>
    <t>=NF($H141,"No.")</t>
  </si>
  <si>
    <t>=NF($H140,"Quantity on Hand")</t>
  </si>
  <si>
    <t>=NF($H141,"Quantity on Hand")</t>
  </si>
  <si>
    <t>=NF($H140,"Qty. on Sales Order")</t>
  </si>
  <si>
    <t>=NF($H141,"Qty. on Sales Order")</t>
  </si>
  <si>
    <t>=NF($H140,"Allocation Quantity (Base)")</t>
  </si>
  <si>
    <t>=NF($H141,"Allocation Quantity (Base)")</t>
  </si>
  <si>
    <t>=NF($H140,"Description")</t>
  </si>
  <si>
    <t>=NF($H141,"Description")</t>
  </si>
  <si>
    <t>=NF($H140,"Pack Size")</t>
  </si>
  <si>
    <t>=NF($H141,"Pack Size")</t>
  </si>
  <si>
    <t>=NF($H140,"FBC Package Type Code")</t>
  </si>
  <si>
    <t>=NF($H141,"FBC Package Type Code")</t>
  </si>
  <si>
    <t>=NF($H140,"FBC Storage Requirement Code")</t>
  </si>
  <si>
    <t>=NF($H141,"FBC Storage Requirement Code")</t>
  </si>
  <si>
    <t>=NF($H140,"Inventory Posting Group")</t>
  </si>
  <si>
    <t>=NF($H141,"Inventory Posting Group")</t>
  </si>
  <si>
    <t>=NF($H140,"Gross Weight")</t>
  </si>
  <si>
    <t>=NF($H141,"Gross Weight")</t>
  </si>
  <si>
    <t>=NF($H140,"Unit Fees")</t>
  </si>
  <si>
    <t>=NF($H141,"Unit Fees")</t>
  </si>
  <si>
    <t>=NF($H128,"No.")</t>
  </si>
  <si>
    <t>=NF($H129,"No.")</t>
  </si>
  <si>
    <t>=NF($H128,"Quantity on Hand")</t>
  </si>
  <si>
    <t>=NF($H129,"Quantity on Hand")</t>
  </si>
  <si>
    <t>=NF($H128,"Qty. on Sales Order")</t>
  </si>
  <si>
    <t>=NF($H129,"Qty. on Sales Order")</t>
  </si>
  <si>
    <t>=NF($H128,"Allocation Quantity (Base)")</t>
  </si>
  <si>
    <t>=NF($H129,"Allocation Quantity (Base)")</t>
  </si>
  <si>
    <t>=NF($H128,"Description")</t>
  </si>
  <si>
    <t>=NF($H129,"Description")</t>
  </si>
  <si>
    <t>=NF($H128,"Pack Size")</t>
  </si>
  <si>
    <t>=NF($H129,"Pack Size")</t>
  </si>
  <si>
    <t>=NF($H128,"FBC Package Type Code")</t>
  </si>
  <si>
    <t>=NF($H129,"FBC Package Type Code")</t>
  </si>
  <si>
    <t>=NF($H128,"FBC Storage Requirement Code")</t>
  </si>
  <si>
    <t>=NF($H129,"FBC Storage Requirement Code")</t>
  </si>
  <si>
    <t>=NF($H128,"Inventory Posting Group")</t>
  </si>
  <si>
    <t>=NF($H129,"Inventory Posting Group")</t>
  </si>
  <si>
    <t>=NF($H128,"Gross Weight")</t>
  </si>
  <si>
    <t>=NF($H129,"Gross Weight")</t>
  </si>
  <si>
    <t>=NF($H128,"Unit Fees")</t>
  </si>
  <si>
    <t>=NF($H129,"Unit Fees")</t>
  </si>
  <si>
    <t>=NF($H110,"No.")</t>
  </si>
  <si>
    <t>=NF($H111,"No.")</t>
  </si>
  <si>
    <t>=NF($H114,"No.")</t>
  </si>
  <si>
    <t>=NF($H115,"No.")</t>
  </si>
  <si>
    <t>=NF($H110,"Quantity on Hand")</t>
  </si>
  <si>
    <t>=NF($H111,"Quantity on Hand")</t>
  </si>
  <si>
    <t>=NF($H114,"Quantity on Hand")</t>
  </si>
  <si>
    <t>=NF($H115,"Quantity on Hand")</t>
  </si>
  <si>
    <t>=NF($H110,"Qty. on Sales Order")</t>
  </si>
  <si>
    <t>=NF($H111,"Qty. on Sales Order")</t>
  </si>
  <si>
    <t>=NF($H114,"Qty. on Sales Order")</t>
  </si>
  <si>
    <t>=NF($H115,"Qty. on Sales Order")</t>
  </si>
  <si>
    <t>=NF($H110,"Allocation Quantity (Base)")</t>
  </si>
  <si>
    <t>=NF($H111,"Allocation Quantity (Base)")</t>
  </si>
  <si>
    <t>=NF($H114,"Allocation Quantity (Base)")</t>
  </si>
  <si>
    <t>=NF($H115,"Allocation Quantity (Base)")</t>
  </si>
  <si>
    <t>=NF($H110,"Description")</t>
  </si>
  <si>
    <t>=NF($H111,"Description")</t>
  </si>
  <si>
    <t>=NF($H114,"Description")</t>
  </si>
  <si>
    <t>=NF($H115,"Description")</t>
  </si>
  <si>
    <t>=NF($H110,"Pack Size")</t>
  </si>
  <si>
    <t>=NF($H111,"Pack Size")</t>
  </si>
  <si>
    <t>=NF($H114,"Pack Size")</t>
  </si>
  <si>
    <t>=NF($H115,"Pack Size")</t>
  </si>
  <si>
    <t>=NF($H110,"FBC Package Type Code")</t>
  </si>
  <si>
    <t>=NF($H111,"FBC Package Type Code")</t>
  </si>
  <si>
    <t>=NF($H114,"FBC Package Type Code")</t>
  </si>
  <si>
    <t>=NF($H115,"FBC Package Type Code")</t>
  </si>
  <si>
    <t>=NF($H110,"FBC Storage Requirement Code")</t>
  </si>
  <si>
    <t>=NF($H111,"FBC Storage Requirement Code")</t>
  </si>
  <si>
    <t>=NF($H114,"FBC Storage Requirement Code")</t>
  </si>
  <si>
    <t>=NF($H115,"FBC Storage Requirement Code")</t>
  </si>
  <si>
    <t>=NF($H110,"Inventory Posting Group")</t>
  </si>
  <si>
    <t>=NF($H111,"Inventory Posting Group")</t>
  </si>
  <si>
    <t>=NF($H114,"Inventory Posting Group")</t>
  </si>
  <si>
    <t>=NF($H115,"Inventory Posting Group")</t>
  </si>
  <si>
    <t>=NF($H110,"Gross Weight")</t>
  </si>
  <si>
    <t>=NF($H111,"Gross Weight")</t>
  </si>
  <si>
    <t>=NF($H114,"Gross Weight")</t>
  </si>
  <si>
    <t>=NF($H115,"Gross Weight")</t>
  </si>
  <si>
    <t>=NF($H110,"Unit Fees")</t>
  </si>
  <si>
    <t>=NF($H111,"Unit Fees")</t>
  </si>
  <si>
    <t>=NF($H114,"Unit Fees")</t>
  </si>
  <si>
    <t>=NF($H115,"Unit Fees")</t>
  </si>
  <si>
    <t>=NF($H98,"No.")</t>
  </si>
  <si>
    <t>=NF($H99,"No.")</t>
  </si>
  <si>
    <t>=NF($H102,"No.")</t>
  </si>
  <si>
    <t>=NF($H103,"No.")</t>
  </si>
  <si>
    <t>=NF($H98,"Quantity on Hand")</t>
  </si>
  <si>
    <t>=NF($H99,"Quantity on Hand")</t>
  </si>
  <si>
    <t>=NF($H102,"Quantity on Hand")</t>
  </si>
  <si>
    <t>=NF($H103,"Quantity on Hand")</t>
  </si>
  <si>
    <t>=NF($H98,"Qty. on Sales Order")</t>
  </si>
  <si>
    <t>=NF($H99,"Qty. on Sales Order")</t>
  </si>
  <si>
    <t>=NF($H102,"Qty. on Sales Order")</t>
  </si>
  <si>
    <t>=NF($H103,"Qty. on Sales Order")</t>
  </si>
  <si>
    <t>=NF($H98,"Allocation Quantity (Base)")</t>
  </si>
  <si>
    <t>=NF($H99,"Allocation Quantity (Base)")</t>
  </si>
  <si>
    <t>=NF($H102,"Allocation Quantity (Base)")</t>
  </si>
  <si>
    <t>=NF($H103,"Allocation Quantity (Base)")</t>
  </si>
  <si>
    <t>=NF($H98,"Description")</t>
  </si>
  <si>
    <t>=NF($H99,"Description")</t>
  </si>
  <si>
    <t>=NF($H102,"Description")</t>
  </si>
  <si>
    <t>=NF($H103,"Description")</t>
  </si>
  <si>
    <t>=NF($H98,"Pack Size")</t>
  </si>
  <si>
    <t>=NF($H99,"Pack Size")</t>
  </si>
  <si>
    <t>=NF($H102,"Pack Size")</t>
  </si>
  <si>
    <t>=NF($H103,"Pack Size")</t>
  </si>
  <si>
    <t>=NF($H98,"FBC Package Type Code")</t>
  </si>
  <si>
    <t>=NF($H99,"FBC Package Type Code")</t>
  </si>
  <si>
    <t>=NF($H102,"FBC Package Type Code")</t>
  </si>
  <si>
    <t>=NF($H103,"FBC Package Type Code")</t>
  </si>
  <si>
    <t>=NF($H98,"FBC Storage Requirement Code")</t>
  </si>
  <si>
    <t>=NF($H99,"FBC Storage Requirement Code")</t>
  </si>
  <si>
    <t>=NF($H102,"FBC Storage Requirement Code")</t>
  </si>
  <si>
    <t>=NF($H103,"FBC Storage Requirement Code")</t>
  </si>
  <si>
    <t>=NF($H98,"Inventory Posting Group")</t>
  </si>
  <si>
    <t>=NF($H99,"Inventory Posting Group")</t>
  </si>
  <si>
    <t>=NF($H102,"Inventory Posting Group")</t>
  </si>
  <si>
    <t>=NF($H103,"Inventory Posting Group")</t>
  </si>
  <si>
    <t>=NF($H98,"Gross Weight")</t>
  </si>
  <si>
    <t>=NF($H99,"Gross Weight")</t>
  </si>
  <si>
    <t>=NF($H102,"Gross Weight")</t>
  </si>
  <si>
    <t>=NF($H103,"Gross Weight")</t>
  </si>
  <si>
    <t>=NF($H98,"Unit Fees")</t>
  </si>
  <si>
    <t>=NF($H99,"Unit Fees")</t>
  </si>
  <si>
    <t>=NF($H102,"Unit Fees")</t>
  </si>
  <si>
    <t>=NF($H103,"Unit Fees")</t>
  </si>
  <si>
    <t>=NF($H84,"No.")</t>
  </si>
  <si>
    <t>=NF($H85,"No.")</t>
  </si>
  <si>
    <t>=NF($H84,"Quantity on Hand")</t>
  </si>
  <si>
    <t>=NF($H85,"Quantity on Hand")</t>
  </si>
  <si>
    <t>=NF($H84,"Qty. on Sales Order")</t>
  </si>
  <si>
    <t>=NF($H85,"Qty. on Sales Order")</t>
  </si>
  <si>
    <t>=NF($H84,"Allocation Quantity (Base)")</t>
  </si>
  <si>
    <t>=NF($H85,"Allocation Quantity (Base)")</t>
  </si>
  <si>
    <t>=NF($H84,"Description")</t>
  </si>
  <si>
    <t>=NF($H85,"Description")</t>
  </si>
  <si>
    <t>=NF($H84,"Pack Size")</t>
  </si>
  <si>
    <t>=NF($H85,"Pack Size")</t>
  </si>
  <si>
    <t>=NF($H84,"FBC Package Type Code")</t>
  </si>
  <si>
    <t>=NF($H85,"FBC Package Type Code")</t>
  </si>
  <si>
    <t>=NF($H84,"FBC Storage Requirement Code")</t>
  </si>
  <si>
    <t>=NF($H85,"FBC Storage Requirement Code")</t>
  </si>
  <si>
    <t>=NF($H84,"Inventory Posting Group")</t>
  </si>
  <si>
    <t>=NF($H85,"Inventory Posting Group")</t>
  </si>
  <si>
    <t>=NF($H84,"Gross Weight")</t>
  </si>
  <si>
    <t>=NF($H85,"Gross Weight")</t>
  </si>
  <si>
    <t>=NF($H84,"Unit Fees")</t>
  </si>
  <si>
    <t>=NF($H85,"Unit Fees")</t>
  </si>
  <si>
    <t>=NF($H61,"No.")</t>
  </si>
  <si>
    <t>=NF($H62,"No.")</t>
  </si>
  <si>
    <t>=NF($H61,"Quantity on Hand")</t>
  </si>
  <si>
    <t>=NF($H62,"Quantity on Hand")</t>
  </si>
  <si>
    <t>=NF($H61,"Qty. on Sales Order")</t>
  </si>
  <si>
    <t>=NF($H62,"Qty. on Sales Order")</t>
  </si>
  <si>
    <t>=NF($H61,"Allocation Quantity (Base)")</t>
  </si>
  <si>
    <t>=NF($H62,"Allocation Quantity (Base)")</t>
  </si>
  <si>
    <t>=NF($H61,"Description")</t>
  </si>
  <si>
    <t>=NF($H62,"Description")</t>
  </si>
  <si>
    <t>=NF($H61,"Pack Size")</t>
  </si>
  <si>
    <t>=NF($H62,"Pack Size")</t>
  </si>
  <si>
    <t>=NF($H61,"FBC Package Type Code")</t>
  </si>
  <si>
    <t>=NF($H62,"FBC Package Type Code")</t>
  </si>
  <si>
    <t>=NF($H61,"FBC Storage Requirement Code")</t>
  </si>
  <si>
    <t>=NF($H62,"FBC Storage Requirement Code")</t>
  </si>
  <si>
    <t>=NF($H61,"Inventory Posting Group")</t>
  </si>
  <si>
    <t>=NF($H62,"Inventory Posting Group")</t>
  </si>
  <si>
    <t>=NF($H61,"Gross Weight")</t>
  </si>
  <si>
    <t>=NF($H62,"Gross Weight")</t>
  </si>
  <si>
    <t>=NF($H61,"Unit Fees")</t>
  </si>
  <si>
    <t>=NF($H62,"Unit Fees")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</si>
</sst>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;@"/>
    <numFmt numFmtId="165" formatCode="[$-409]h:mm\ AM/PM;@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rgb="FFC0C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C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C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rgb="FFC0C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1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0" fontId="3" fillId="0" borderId="0" xfId="0" applyFont="1" applyBorder="1"/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2" borderId="1" xfId="0" applyFont="1" applyFill="1" applyBorder="1"/>
    <xf numFmtId="166" fontId="10" fillId="0" borderId="0" xfId="2" applyNumberFormat="1" applyFont="1" applyFill="1" applyBorder="1"/>
    <xf numFmtId="0" fontId="10" fillId="0" borderId="0" xfId="0" applyFont="1" applyFill="1" applyBorder="1"/>
    <xf numFmtId="166" fontId="10" fillId="0" borderId="0" xfId="2" applyNumberFormat="1" applyFont="1"/>
    <xf numFmtId="2" fontId="10" fillId="0" borderId="0" xfId="1" applyNumberFormat="1" applyFont="1"/>
    <xf numFmtId="44" fontId="10" fillId="0" borderId="0" xfId="1" applyFont="1"/>
    <xf numFmtId="0" fontId="15" fillId="0" borderId="0" xfId="0" applyFont="1"/>
    <xf numFmtId="44" fontId="9" fillId="0" borderId="0" xfId="1" applyFont="1"/>
    <xf numFmtId="0" fontId="9" fillId="0" borderId="0" xfId="0" applyFont="1" applyAlignment="1">
      <alignment horizontal="right"/>
    </xf>
    <xf numFmtId="44" fontId="9" fillId="0" borderId="0" xfId="0" applyNumberFormat="1" applyFont="1"/>
    <xf numFmtId="0" fontId="0" fillId="0" borderId="0" xfId="0" quotePrefix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0" fillId="0" borderId="0" xfId="0" applyNumberFormat="1" applyFont="1"/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0"/>
  <sheetViews>
    <sheetView tabSelected="1" topLeftCell="I2" zoomScale="110" zoomScaleNormal="110" workbookViewId="0">
      <selection activeCell="J4" sqref="J4"/>
    </sheetView>
  </sheetViews>
  <sheetFormatPr defaultRowHeight="15" x14ac:dyDescent="0.25"/>
  <cols>
    <col min="1" max="1" width="9.140625" hidden="1" customWidth="1"/>
    <col min="2" max="2" width="22.85546875" hidden="1" customWidth="1"/>
    <col min="3" max="5" width="9.140625" hidden="1" customWidth="1"/>
    <col min="6" max="6" width="9.140625" style="1" hidden="1" customWidth="1"/>
    <col min="7" max="7" width="3.140625" hidden="1" customWidth="1"/>
    <col min="8" max="8" width="3.42578125" style="1" hidden="1" customWidth="1"/>
    <col min="9" max="9" width="10.85546875" customWidth="1"/>
    <col min="10" max="10" width="11.140625" customWidth="1"/>
    <col min="11" max="11" width="10.140625" hidden="1" customWidth="1"/>
    <col min="12" max="13" width="11" hidden="1" customWidth="1"/>
    <col min="14" max="14" width="11.5703125" customWidth="1"/>
    <col min="15" max="15" width="62.42578125" style="1" customWidth="1"/>
    <col min="16" max="16" width="15.85546875" customWidth="1"/>
    <col min="17" max="17" width="19.42578125" customWidth="1"/>
    <col min="18" max="18" width="9.85546875" customWidth="1"/>
    <col min="19" max="19" width="12" customWidth="1"/>
    <col min="20" max="20" width="9.42578125" customWidth="1"/>
    <col min="21" max="21" width="8.85546875" customWidth="1"/>
    <col min="22" max="22" width="12.28515625" bestFit="1" customWidth="1"/>
  </cols>
  <sheetData>
    <row r="1" spans="1:22" hidden="1" x14ac:dyDescent="0.25">
      <c r="A1" t="s">
        <v>292</v>
      </c>
      <c r="B1" t="s">
        <v>94</v>
      </c>
      <c r="C1" t="s">
        <v>24</v>
      </c>
      <c r="D1" t="s">
        <v>28</v>
      </c>
      <c r="E1" t="s">
        <v>27</v>
      </c>
      <c r="F1" s="1" t="s">
        <v>0</v>
      </c>
      <c r="G1" t="s">
        <v>0</v>
      </c>
      <c r="H1" s="1" t="s">
        <v>0</v>
      </c>
      <c r="K1" t="s">
        <v>14</v>
      </c>
      <c r="L1" t="s">
        <v>14</v>
      </c>
      <c r="M1" t="s">
        <v>14</v>
      </c>
      <c r="O1" s="2"/>
      <c r="V1" t="s">
        <v>21</v>
      </c>
    </row>
    <row r="2" spans="1:22" x14ac:dyDescent="0.25">
      <c r="A2" t="s">
        <v>25</v>
      </c>
      <c r="B2" t="s">
        <v>22</v>
      </c>
      <c r="C2" t="str">
        <f>"YES"</f>
        <v>YES</v>
      </c>
      <c r="E2" t="s">
        <v>26</v>
      </c>
      <c r="J2" s="15"/>
      <c r="K2" s="15"/>
      <c r="L2" s="15"/>
      <c r="M2" s="15"/>
      <c r="O2" s="2"/>
    </row>
    <row r="3" spans="1:22" ht="26.25" customHeight="1" x14ac:dyDescent="0.35">
      <c r="A3" t="s">
        <v>25</v>
      </c>
      <c r="B3" t="s">
        <v>3</v>
      </c>
      <c r="C3" t="str">
        <f>"BBPUR..DON"</f>
        <v>BBPUR..DON</v>
      </c>
      <c r="D3" t="str">
        <f>"Lookup"</f>
        <v>Lookup</v>
      </c>
      <c r="G3" s="3"/>
      <c r="H3" s="4"/>
      <c r="I3" s="3"/>
      <c r="J3" s="45" t="s">
        <v>23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5" t="s">
        <v>10</v>
      </c>
      <c r="V3" s="5">
        <v>44483</v>
      </c>
    </row>
    <row r="4" spans="1:22" ht="21" x14ac:dyDescent="0.35">
      <c r="A4" t="s">
        <v>25</v>
      </c>
      <c r="B4" t="s">
        <v>161</v>
      </c>
      <c r="C4" t="str">
        <f>"*"</f>
        <v>*</v>
      </c>
      <c r="D4" t="str">
        <f>"Lookup"</f>
        <v>Lookup</v>
      </c>
      <c r="G4" s="3"/>
      <c r="H4" s="4"/>
      <c r="I4" s="3"/>
      <c r="J4" s="3"/>
      <c r="K4" s="3"/>
      <c r="L4" s="3"/>
      <c r="M4" s="3"/>
      <c r="N4" s="3"/>
      <c r="O4" s="16" t="s">
        <v>12</v>
      </c>
      <c r="P4" s="3"/>
      <c r="Q4" s="3"/>
      <c r="R4" s="3"/>
      <c r="S4" s="3"/>
      <c r="U4" s="6" t="s">
        <v>11</v>
      </c>
      <c r="V4" s="7">
        <v>44483.612336805556</v>
      </c>
    </row>
    <row r="5" spans="1:22" ht="21" x14ac:dyDescent="0.35">
      <c r="G5" s="3"/>
      <c r="H5" s="4"/>
      <c r="I5" s="3"/>
      <c r="J5" s="3"/>
      <c r="K5" s="3"/>
      <c r="L5" s="3"/>
      <c r="M5" s="3"/>
      <c r="N5" s="3"/>
      <c r="O5" s="16"/>
      <c r="P5" s="3"/>
      <c r="Q5" s="3"/>
      <c r="R5" s="3"/>
      <c r="S5" s="3"/>
      <c r="U5" s="6"/>
      <c r="V5" s="6"/>
    </row>
    <row r="6" spans="1:22" ht="18.75" x14ac:dyDescent="0.3">
      <c r="G6" s="3"/>
      <c r="H6" s="4"/>
      <c r="I6" s="47" t="s">
        <v>13</v>
      </c>
      <c r="J6" s="47"/>
      <c r="K6" s="8"/>
      <c r="L6" s="8"/>
      <c r="M6" s="42"/>
      <c r="N6" s="46"/>
      <c r="O6" s="46"/>
      <c r="P6" s="3"/>
      <c r="Q6" s="3"/>
      <c r="R6" s="3"/>
      <c r="S6" s="3"/>
      <c r="T6" s="6"/>
      <c r="U6" s="7"/>
    </row>
    <row r="7" spans="1:22" ht="18.75" x14ac:dyDescent="0.3">
      <c r="G7" s="3"/>
      <c r="H7" s="4"/>
      <c r="I7" s="12"/>
      <c r="J7" s="12"/>
      <c r="K7" s="12"/>
      <c r="L7" s="12"/>
      <c r="M7" s="42"/>
      <c r="N7" s="23"/>
      <c r="O7" s="23"/>
      <c r="P7" s="3"/>
      <c r="Q7" s="3"/>
      <c r="R7" s="3"/>
      <c r="S7" s="3"/>
      <c r="T7" s="6"/>
      <c r="U7" s="7"/>
    </row>
    <row r="8" spans="1:22" ht="15.75" x14ac:dyDescent="0.25">
      <c r="G8" s="3"/>
      <c r="H8" s="4"/>
      <c r="I8" s="48" t="s">
        <v>17</v>
      </c>
      <c r="J8" s="48"/>
      <c r="K8" s="9"/>
      <c r="L8" s="9"/>
      <c r="M8" s="43"/>
      <c r="N8" s="10"/>
      <c r="O8" s="24"/>
      <c r="P8" s="3"/>
      <c r="Q8" s="3"/>
      <c r="R8" s="3"/>
      <c r="S8" s="3"/>
      <c r="T8" s="6"/>
      <c r="U8" s="7"/>
    </row>
    <row r="9" spans="1:22" ht="15.75" x14ac:dyDescent="0.25">
      <c r="G9" s="3"/>
      <c r="H9" s="4"/>
      <c r="I9" s="13"/>
      <c r="J9" s="13"/>
      <c r="K9" s="13"/>
      <c r="L9" s="13"/>
      <c r="M9" s="43"/>
      <c r="N9" s="10"/>
      <c r="O9" s="25"/>
      <c r="P9" s="3"/>
      <c r="Q9" s="3"/>
      <c r="R9" s="3"/>
      <c r="S9" s="3"/>
      <c r="T9" s="6"/>
      <c r="U9" s="7"/>
    </row>
    <row r="10" spans="1:22" ht="15.75" x14ac:dyDescent="0.25">
      <c r="I10" s="11" t="s">
        <v>16</v>
      </c>
      <c r="J10" s="11"/>
      <c r="K10" s="11"/>
      <c r="L10" s="11"/>
      <c r="M10" s="11"/>
      <c r="N10" s="10"/>
      <c r="O10" s="22"/>
    </row>
    <row r="11" spans="1:22" ht="15.75" x14ac:dyDescent="0.25">
      <c r="I11" s="11"/>
      <c r="J11" s="11"/>
      <c r="K11" s="11"/>
      <c r="L11" s="11"/>
      <c r="M11" s="11"/>
      <c r="N11" s="10"/>
      <c r="O11" s="26"/>
    </row>
    <row r="12" spans="1:22" ht="15.75" x14ac:dyDescent="0.25">
      <c r="I12" s="11"/>
      <c r="J12" s="11"/>
      <c r="K12" s="11"/>
      <c r="L12" s="11"/>
      <c r="M12" s="11"/>
      <c r="N12" s="10"/>
      <c r="P12" s="14"/>
      <c r="Q12" s="14"/>
      <c r="R12" s="14"/>
      <c r="S12" s="14"/>
      <c r="T12" s="14"/>
      <c r="U12" s="14"/>
      <c r="V12" s="14"/>
    </row>
    <row r="13" spans="1:22" s="17" customFormat="1" ht="75" x14ac:dyDescent="0.25">
      <c r="F13" s="18"/>
      <c r="G13" s="19"/>
      <c r="H13" s="20"/>
      <c r="I13" s="27" t="s">
        <v>9</v>
      </c>
      <c r="J13" s="27" t="s">
        <v>8</v>
      </c>
      <c r="K13" s="27" t="s">
        <v>18</v>
      </c>
      <c r="L13" s="27" t="s">
        <v>19</v>
      </c>
      <c r="M13" s="27"/>
      <c r="N13" s="28" t="s">
        <v>20</v>
      </c>
      <c r="O13" s="27" t="s">
        <v>1</v>
      </c>
      <c r="P13" s="27" t="s">
        <v>2</v>
      </c>
      <c r="Q13" s="27" t="s">
        <v>7</v>
      </c>
      <c r="R13" s="27" t="s">
        <v>6</v>
      </c>
      <c r="S13" s="27" t="s">
        <v>3</v>
      </c>
      <c r="T13" s="27" t="s">
        <v>5</v>
      </c>
      <c r="U13" s="27" t="s">
        <v>4</v>
      </c>
      <c r="V13" s="29" t="s">
        <v>15</v>
      </c>
    </row>
    <row r="14" spans="1:22" ht="27.75" customHeight="1" x14ac:dyDescent="0.3">
      <c r="F14" s="1" t="str">
        <f>G14</f>
        <v>01</v>
      </c>
      <c r="G14" s="3" t="str">
        <f>"01"</f>
        <v>01</v>
      </c>
      <c r="H14" s="4"/>
      <c r="I14" s="30"/>
      <c r="J14" s="21" t="str">
        <f>"Assorted Non-Food: Household goods, Toys, Books, Clothing"</f>
        <v>Assorted Non-Food: Household goods, Toys, Books, Clothing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27.75" customHeight="1" x14ac:dyDescent="0.3">
      <c r="B15" t="str">
        <f>IF(N15=0,"hide","")</f>
        <v/>
      </c>
      <c r="F15" s="1" t="str">
        <f>F14</f>
        <v>01</v>
      </c>
      <c r="G15" s="3"/>
      <c r="H15" s="4" t="str">
        <f>"""Ceres 5 "",""SHNLFB - Duluth - LIVE"",""27"",""1"",""10017"""</f>
        <v>"Ceres 5 ","SHNLFB - Duluth - LIVE","27","1","10017"</v>
      </c>
      <c r="I15" s="30" t="str">
        <f>"10017"</f>
        <v>10017</v>
      </c>
      <c r="J15" s="31"/>
      <c r="K15" s="32">
        <v>1502</v>
      </c>
      <c r="L15" s="33">
        <v>0</v>
      </c>
      <c r="M15" s="33">
        <v>0</v>
      </c>
      <c r="N15" s="34">
        <f>IFERROR(K15-L15-M15," ")</f>
        <v>1502</v>
      </c>
      <c r="O15" s="30" t="str">
        <f>"Assorted Non-Food "</f>
        <v xml:space="preserve">Assorted Non-Food </v>
      </c>
      <c r="P15" s="30" t="str">
        <f>"1 Pallet"</f>
        <v>1 Pallet</v>
      </c>
      <c r="Q15" s="30" t="str">
        <f>"CONTAINER"</f>
        <v>CONTAINER</v>
      </c>
      <c r="R15" s="30" t="str">
        <f>"DRY"</f>
        <v>DRY</v>
      </c>
      <c r="S15" s="30" t="str">
        <f>"DON"</f>
        <v>DON</v>
      </c>
      <c r="T15" s="30">
        <v>1</v>
      </c>
      <c r="U15" s="44">
        <v>0.19</v>
      </c>
      <c r="V15" s="36">
        <f>IFERROR($U15*$J15," ")</f>
        <v>0</v>
      </c>
    </row>
    <row r="16" spans="1:22" ht="27.75" customHeight="1" x14ac:dyDescent="0.3">
      <c r="A16" t="s">
        <v>45</v>
      </c>
      <c r="B16" t="str">
        <f t="shared" ref="B16:B17" si="0">IF(N16=0,"hide","")</f>
        <v/>
      </c>
      <c r="F16" s="1" t="str">
        <f>F15</f>
        <v>01</v>
      </c>
      <c r="G16" s="3"/>
      <c r="H16" s="4" t="str">
        <f>"""Ceres 5 "",""SHNLFB - Duluth - LIVE"",""27"",""1"",""13605"""</f>
        <v>"Ceres 5 ","SHNLFB - Duluth - LIVE","27","1","13605"</v>
      </c>
      <c r="I16" s="30" t="str">
        <f>"13605"</f>
        <v>13605</v>
      </c>
      <c r="J16" s="31"/>
      <c r="K16" s="32">
        <v>337</v>
      </c>
      <c r="L16" s="33">
        <v>0</v>
      </c>
      <c r="M16" s="33">
        <v>0</v>
      </c>
      <c r="N16" s="34">
        <f>IFERROR(K16-L16-M16," ")</f>
        <v>337</v>
      </c>
      <c r="O16" s="30" t="str">
        <f>"Asst Non-Food - Insect Repellant"</f>
        <v>Asst Non-Food - Insect Repellant</v>
      </c>
      <c r="P16" s="30" t="str">
        <f>"6 - 5 oz"</f>
        <v>6 - 5 oz</v>
      </c>
      <c r="Q16" s="30" t="str">
        <f>"CASE"</f>
        <v>CASE</v>
      </c>
      <c r="R16" s="30" t="str">
        <f>"DRY"</f>
        <v>DRY</v>
      </c>
      <c r="S16" s="30" t="str">
        <f>"DON"</f>
        <v>DON</v>
      </c>
      <c r="T16" s="30">
        <v>3</v>
      </c>
      <c r="U16" s="44">
        <v>0</v>
      </c>
      <c r="V16" s="36">
        <f>IFERROR($U16*$J16," ")</f>
        <v>0</v>
      </c>
    </row>
    <row r="17" spans="1:22" ht="27.75" customHeight="1" x14ac:dyDescent="0.3">
      <c r="A17" t="s">
        <v>45</v>
      </c>
      <c r="B17" t="str">
        <f t="shared" si="0"/>
        <v/>
      </c>
      <c r="F17" s="1" t="str">
        <f>F16</f>
        <v>01</v>
      </c>
      <c r="G17" s="3"/>
      <c r="H17" s="4" t="str">
        <f>"""Ceres 5 "",""SHNLFB - Duluth - LIVE"",""27"",""1"",""10398"""</f>
        <v>"Ceres 5 ","SHNLFB - Duluth - LIVE","27","1","10398"</v>
      </c>
      <c r="I17" s="30" t="str">
        <f>"10398"</f>
        <v>10398</v>
      </c>
      <c r="J17" s="31"/>
      <c r="K17" s="32">
        <v>75</v>
      </c>
      <c r="L17" s="33">
        <v>0</v>
      </c>
      <c r="M17" s="33">
        <v>0</v>
      </c>
      <c r="N17" s="34">
        <f>IFERROR(K17-L17-M17," ")</f>
        <v>75</v>
      </c>
      <c r="O17" s="30" t="str">
        <f>"Non-Food - Cat Food"</f>
        <v>Non-Food - Cat Food</v>
      </c>
      <c r="P17" s="30" t="str">
        <f>"23 lb bag (32 per pallet)"</f>
        <v>23 lb bag (32 per pallet)</v>
      </c>
      <c r="Q17" s="30" t="str">
        <f>"CASE"</f>
        <v>CASE</v>
      </c>
      <c r="R17" s="30" t="str">
        <f>"DRY"</f>
        <v>DRY</v>
      </c>
      <c r="S17" s="30" t="str">
        <f>"DON"</f>
        <v>DON</v>
      </c>
      <c r="T17" s="30">
        <v>25</v>
      </c>
      <c r="U17" s="44">
        <v>0</v>
      </c>
      <c r="V17" s="36">
        <f>IFERROR($U17*$J17," ")</f>
        <v>0</v>
      </c>
    </row>
    <row r="18" spans="1:22" ht="27.75" customHeight="1" x14ac:dyDescent="0.3"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27.75" customHeight="1" x14ac:dyDescent="0.3">
      <c r="A19" t="s">
        <v>45</v>
      </c>
      <c r="F19" s="1" t="str">
        <f>G19</f>
        <v>03</v>
      </c>
      <c r="G19" s="3" t="str">
        <f>"03"</f>
        <v>03</v>
      </c>
      <c r="H19" s="4"/>
      <c r="I19" s="30"/>
      <c r="J19" s="21" t="str">
        <f>"Beverage: Coffee, Tea, Soda, Drinks"</f>
        <v>Beverage: Coffee, Tea, Soda, Drinks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7.75" customHeight="1" x14ac:dyDescent="0.3">
      <c r="A20" t="s">
        <v>45</v>
      </c>
      <c r="B20" t="str">
        <f t="shared" ref="B20" si="1">IF(N20=0,"hide","")</f>
        <v/>
      </c>
      <c r="F20" s="1" t="str">
        <f>F19</f>
        <v>03</v>
      </c>
      <c r="G20" s="3"/>
      <c r="H20" s="4" t="str">
        <f>"""Ceres 5 "",""SHNLFB - Duluth - LIVE"",""27"",""1"",""10012"""</f>
        <v>"Ceres 5 ","SHNLFB - Duluth - LIVE","27","1","10012"</v>
      </c>
      <c r="I20" s="30" t="str">
        <f>"10012"</f>
        <v>10012</v>
      </c>
      <c r="J20" s="31"/>
      <c r="K20" s="32">
        <v>17449</v>
      </c>
      <c r="L20" s="33">
        <v>3</v>
      </c>
      <c r="M20" s="33">
        <v>0</v>
      </c>
      <c r="N20" s="34">
        <f>IFERROR(K20-L20-M20," ")</f>
        <v>17446</v>
      </c>
      <c r="O20" s="30" t="str">
        <f>"Assorted Beverages"</f>
        <v>Assorted Beverages</v>
      </c>
      <c r="P20" s="30" t="str">
        <f>"1 Pallet"</f>
        <v>1 Pallet</v>
      </c>
      <c r="Q20" s="30" t="str">
        <f>"CONTAINER"</f>
        <v>CONTAINER</v>
      </c>
      <c r="R20" s="30" t="str">
        <f>"DRY"</f>
        <v>DRY</v>
      </c>
      <c r="S20" s="30" t="str">
        <f>"DON"</f>
        <v>DON</v>
      </c>
      <c r="T20" s="30">
        <v>1</v>
      </c>
      <c r="U20" s="44">
        <v>0</v>
      </c>
      <c r="V20" s="36">
        <f>IFERROR($U20*$J20," ")</f>
        <v>0</v>
      </c>
    </row>
    <row r="21" spans="1:22" ht="27.75" customHeight="1" x14ac:dyDescent="0.3">
      <c r="A21" t="s">
        <v>45</v>
      </c>
      <c r="B21" t="str">
        <f t="shared" ref="B21:B36" si="2">IF(N21=0,"hide","")</f>
        <v/>
      </c>
      <c r="F21" s="1" t="str">
        <f>F20</f>
        <v>03</v>
      </c>
      <c r="G21" s="3"/>
      <c r="H21" s="4" t="str">
        <f>"""Ceres 5 "",""SHNLFB - Duluth - LIVE"",""27"",""1"",""11084"""</f>
        <v>"Ceres 5 ","SHNLFB - Duluth - LIVE","27","1","11084"</v>
      </c>
      <c r="I21" s="30" t="str">
        <f>"11084"</f>
        <v>11084</v>
      </c>
      <c r="J21" s="31"/>
      <c r="K21" s="32">
        <v>40</v>
      </c>
      <c r="L21" s="33">
        <v>2</v>
      </c>
      <c r="M21" s="33">
        <v>0</v>
      </c>
      <c r="N21" s="34">
        <f>IFERROR(K21-L21-M21," ")</f>
        <v>38</v>
      </c>
      <c r="O21" s="30" t="str">
        <f>"Beverage - Coffee Pods"</f>
        <v>Beverage - Coffee Pods</v>
      </c>
      <c r="P21" s="30" t="str">
        <f>"400 ct"</f>
        <v>400 ct</v>
      </c>
      <c r="Q21" s="30" t="str">
        <f>"CASE"</f>
        <v>CASE</v>
      </c>
      <c r="R21" s="30" t="str">
        <f>"DRY"</f>
        <v>DRY</v>
      </c>
      <c r="S21" s="30" t="str">
        <f>"DON"</f>
        <v>DON</v>
      </c>
      <c r="T21" s="30">
        <v>21</v>
      </c>
      <c r="U21" s="44">
        <v>0</v>
      </c>
      <c r="V21" s="36">
        <f>IFERROR($U21*$J21," ")</f>
        <v>0</v>
      </c>
    </row>
    <row r="22" spans="1:22" ht="27.75" customHeight="1" x14ac:dyDescent="0.3">
      <c r="A22" t="s">
        <v>45</v>
      </c>
      <c r="B22" t="str">
        <f t="shared" si="2"/>
        <v/>
      </c>
      <c r="F22" s="1" t="str">
        <f>F21</f>
        <v>03</v>
      </c>
      <c r="G22" s="3"/>
      <c r="H22" s="4" t="str">
        <f>"""Ceres 5 "",""SHNLFB - Duluth - LIVE"",""27"",""1"",""11120"""</f>
        <v>"Ceres 5 ","SHNLFB - Duluth - LIVE","27","1","11120"</v>
      </c>
      <c r="I22" s="30" t="str">
        <f>"11120"</f>
        <v>11120</v>
      </c>
      <c r="J22" s="31"/>
      <c r="K22" s="32">
        <v>180</v>
      </c>
      <c r="L22" s="33">
        <v>0</v>
      </c>
      <c r="M22" s="33">
        <v>0</v>
      </c>
      <c r="N22" s="34">
        <f>IFERROR(K22-L22-M22," ")</f>
        <v>180</v>
      </c>
      <c r="O22" s="30" t="str">
        <f>"Beverage - Coffee, Expresso Cups"</f>
        <v>Beverage - Coffee, Expresso Cups</v>
      </c>
      <c r="P22" s="30" t="str">
        <f>"3/16 - 7 g cups"</f>
        <v>3/16 - 7 g cups</v>
      </c>
      <c r="Q22" s="30" t="str">
        <f>"CASE"</f>
        <v>CASE</v>
      </c>
      <c r="R22" s="30" t="str">
        <f>"DRY"</f>
        <v>DRY</v>
      </c>
      <c r="S22" s="30" t="str">
        <f>"DON"</f>
        <v>DON</v>
      </c>
      <c r="T22" s="30">
        <v>7</v>
      </c>
      <c r="U22" s="44">
        <v>0</v>
      </c>
      <c r="V22" s="36">
        <f>IFERROR($U22*$J22," ")</f>
        <v>0</v>
      </c>
    </row>
    <row r="23" spans="1:22" ht="27.75" customHeight="1" x14ac:dyDescent="0.3">
      <c r="A23" t="s">
        <v>45</v>
      </c>
      <c r="B23" t="str">
        <f t="shared" si="2"/>
        <v/>
      </c>
      <c r="F23" s="1" t="str">
        <f>F22</f>
        <v>03</v>
      </c>
      <c r="G23" s="3"/>
      <c r="H23" s="4" t="str">
        <f>"""Ceres 5 "",""SHNLFB - Duluth - LIVE"",""27"",""1"",""10701"""</f>
        <v>"Ceres 5 ","SHNLFB - Duluth - LIVE","27","1","10701"</v>
      </c>
      <c r="I23" s="30" t="str">
        <f>"10701"</f>
        <v>10701</v>
      </c>
      <c r="J23" s="31"/>
      <c r="K23" s="32">
        <v>58</v>
      </c>
      <c r="L23" s="33">
        <v>0</v>
      </c>
      <c r="M23" s="33">
        <v>0</v>
      </c>
      <c r="N23" s="34">
        <f>IFERROR(K23-L23-M23," ")</f>
        <v>58</v>
      </c>
      <c r="O23" s="30" t="str">
        <f>"Beverage - Coffee, Pods, Expresso"</f>
        <v>Beverage - Coffee, Pods, Expresso</v>
      </c>
      <c r="P23" s="30" t="str">
        <f>"6 - 12 pods"</f>
        <v>6 - 12 pods</v>
      </c>
      <c r="Q23" s="30" t="str">
        <f>"CASE"</f>
        <v>CASE</v>
      </c>
      <c r="R23" s="30" t="str">
        <f>"DRY"</f>
        <v>DRY</v>
      </c>
      <c r="S23" s="30" t="str">
        <f>"DON"</f>
        <v>DON</v>
      </c>
      <c r="T23" s="30">
        <v>3</v>
      </c>
      <c r="U23" s="44">
        <v>0</v>
      </c>
      <c r="V23" s="36">
        <f>IFERROR($U23*$J23," ")</f>
        <v>0</v>
      </c>
    </row>
    <row r="24" spans="1:22" ht="27.75" customHeight="1" x14ac:dyDescent="0.3">
      <c r="A24" t="s">
        <v>45</v>
      </c>
      <c r="B24" t="str">
        <f t="shared" si="2"/>
        <v/>
      </c>
      <c r="F24" s="1" t="str">
        <f>F23</f>
        <v>03</v>
      </c>
      <c r="G24" s="3"/>
      <c r="H24" s="4" t="str">
        <f>"""Ceres 5 "",""SHNLFB - Duluth - LIVE"",""27"",""1"",""12140"""</f>
        <v>"Ceres 5 ","SHNLFB - Duluth - LIVE","27","1","12140"</v>
      </c>
      <c r="I24" s="30" t="str">
        <f>"12140"</f>
        <v>12140</v>
      </c>
      <c r="J24" s="31"/>
      <c r="K24" s="32">
        <v>19</v>
      </c>
      <c r="L24" s="33">
        <v>10</v>
      </c>
      <c r="M24" s="33">
        <v>0</v>
      </c>
      <c r="N24" s="34">
        <f>IFERROR(K24-L24-M24," ")</f>
        <v>9</v>
      </c>
      <c r="O24" s="30" t="str">
        <f>"Beverage - Iced Tea Mix"</f>
        <v>Beverage - Iced Tea Mix</v>
      </c>
      <c r="P24" s="30" t="str">
        <f>"8 - 3.3 oz"</f>
        <v>8 - 3.3 oz</v>
      </c>
      <c r="Q24" s="30" t="str">
        <f>"CASE"</f>
        <v>CASE</v>
      </c>
      <c r="R24" s="30" t="str">
        <f>"DRY"</f>
        <v>DRY</v>
      </c>
      <c r="S24" s="30" t="str">
        <f>"DON"</f>
        <v>DON</v>
      </c>
      <c r="T24" s="30">
        <v>2</v>
      </c>
      <c r="U24" s="44">
        <v>0</v>
      </c>
      <c r="V24" s="36">
        <f>IFERROR($U24*$J24," ")</f>
        <v>0</v>
      </c>
    </row>
    <row r="25" spans="1:22" ht="27.75" customHeight="1" x14ac:dyDescent="0.3">
      <c r="A25" t="s">
        <v>45</v>
      </c>
      <c r="B25" t="str">
        <f t="shared" si="2"/>
        <v/>
      </c>
      <c r="F25" s="1" t="str">
        <f>F24</f>
        <v>03</v>
      </c>
      <c r="G25" s="3"/>
      <c r="H25" s="4" t="str">
        <f>"""Ceres 5 "",""SHNLFB - Duluth - LIVE"",""27"",""1"",""11225"""</f>
        <v>"Ceres 5 ","SHNLFB - Duluth - LIVE","27","1","11225"</v>
      </c>
      <c r="I25" s="30" t="str">
        <f>"11225"</f>
        <v>11225</v>
      </c>
      <c r="J25" s="31"/>
      <c r="K25" s="32">
        <v>45</v>
      </c>
      <c r="L25" s="33">
        <v>2</v>
      </c>
      <c r="M25" s="33">
        <v>0</v>
      </c>
      <c r="N25" s="34">
        <f>IFERROR(K25-L25-M25," ")</f>
        <v>43</v>
      </c>
      <c r="O25" s="30" t="str">
        <f>"Beverage - Iced Tea Mix, Black"</f>
        <v>Beverage - Iced Tea Mix, Black</v>
      </c>
      <c r="P25" s="30" t="str">
        <f>"48 - .8 oz"</f>
        <v>48 - .8 oz</v>
      </c>
      <c r="Q25" s="30" t="str">
        <f>"CASE"</f>
        <v>CASE</v>
      </c>
      <c r="R25" s="30" t="str">
        <f>"DRY"</f>
        <v>DRY</v>
      </c>
      <c r="S25" s="30" t="str">
        <f>"DON"</f>
        <v>DON</v>
      </c>
      <c r="T25" s="30">
        <v>3</v>
      </c>
      <c r="U25" s="44">
        <v>0</v>
      </c>
      <c r="V25" s="36">
        <f>IFERROR($U25*$J25," ")</f>
        <v>0</v>
      </c>
    </row>
    <row r="26" spans="1:22" ht="27.75" customHeight="1" x14ac:dyDescent="0.3">
      <c r="A26" t="s">
        <v>45</v>
      </c>
      <c r="B26" t="str">
        <f t="shared" si="2"/>
        <v/>
      </c>
      <c r="F26" s="1" t="str">
        <f>F25</f>
        <v>03</v>
      </c>
      <c r="G26" s="3"/>
      <c r="H26" s="4" t="str">
        <f>"""Ceres 5 "",""SHNLFB - Duluth - LIVE"",""27"",""1"",""12035"""</f>
        <v>"Ceres 5 ","SHNLFB - Duluth - LIVE","27","1","12035"</v>
      </c>
      <c r="I26" s="30" t="str">
        <f>"12035"</f>
        <v>12035</v>
      </c>
      <c r="J26" s="31"/>
      <c r="K26" s="32">
        <v>42</v>
      </c>
      <c r="L26" s="33">
        <v>7</v>
      </c>
      <c r="M26" s="33">
        <v>0</v>
      </c>
      <c r="N26" s="34">
        <f>IFERROR(K26-L26-M26," ")</f>
        <v>35</v>
      </c>
      <c r="O26" s="30" t="str">
        <f>"Beverage - K Cups"</f>
        <v>Beverage - K Cups</v>
      </c>
      <c r="P26" s="30" t="str">
        <f>"400 ct"</f>
        <v>400 ct</v>
      </c>
      <c r="Q26" s="30" t="str">
        <f>"CASE"</f>
        <v>CASE</v>
      </c>
      <c r="R26" s="30" t="str">
        <f>"DRY"</f>
        <v>DRY</v>
      </c>
      <c r="S26" s="30" t="str">
        <f>"DON"</f>
        <v>DON</v>
      </c>
      <c r="T26" s="30">
        <v>15</v>
      </c>
      <c r="U26" s="44">
        <v>0</v>
      </c>
      <c r="V26" s="36">
        <f>IFERROR($U26*$J26," ")</f>
        <v>0</v>
      </c>
    </row>
    <row r="27" spans="1:22" ht="27.75" customHeight="1" x14ac:dyDescent="0.3">
      <c r="A27" t="s">
        <v>45</v>
      </c>
      <c r="B27" t="str">
        <f t="shared" si="2"/>
        <v/>
      </c>
      <c r="F27" s="1" t="str">
        <f>F26</f>
        <v>03</v>
      </c>
      <c r="G27" s="3"/>
      <c r="H27" s="4" t="str">
        <f>"""Ceres 5 "",""SHNLFB - Duluth - LIVE"",""27"",""1"",""10710"""</f>
        <v>"Ceres 5 ","SHNLFB - Duluth - LIVE","27","1","10710"</v>
      </c>
      <c r="I27" s="30" t="str">
        <f>"10710"</f>
        <v>10710</v>
      </c>
      <c r="J27" s="31"/>
      <c r="K27" s="32">
        <v>79</v>
      </c>
      <c r="L27" s="33">
        <v>28</v>
      </c>
      <c r="M27" s="33">
        <v>0</v>
      </c>
      <c r="N27" s="34">
        <f>IFERROR(K27-L27-M27," ")</f>
        <v>51</v>
      </c>
      <c r="O27" s="30" t="str">
        <f>"Beverage - Lemonade"</f>
        <v>Beverage - Lemonade</v>
      </c>
      <c r="P27" s="30" t="str">
        <f>"12 - 32 oz."</f>
        <v>12 - 32 oz.</v>
      </c>
      <c r="Q27" s="30" t="str">
        <f>"CASE"</f>
        <v>CASE</v>
      </c>
      <c r="R27" s="30" t="str">
        <f>"DRY"</f>
        <v>DRY</v>
      </c>
      <c r="S27" s="30" t="str">
        <f>"DON"</f>
        <v>DON</v>
      </c>
      <c r="T27" s="30">
        <v>25</v>
      </c>
      <c r="U27" s="44">
        <v>0</v>
      </c>
      <c r="V27" s="36">
        <f>IFERROR($U27*$J27," ")</f>
        <v>0</v>
      </c>
    </row>
    <row r="28" spans="1:22" ht="27.75" customHeight="1" x14ac:dyDescent="0.3">
      <c r="A28" t="s">
        <v>45</v>
      </c>
      <c r="B28" t="str">
        <f t="shared" si="2"/>
        <v/>
      </c>
      <c r="F28" s="1" t="str">
        <f>F27</f>
        <v>03</v>
      </c>
      <c r="G28" s="3"/>
      <c r="H28" s="4" t="str">
        <f>"""Ceres 5 "",""SHNLFB - Duluth - LIVE"",""27"",""1"",""10699"""</f>
        <v>"Ceres 5 ","SHNLFB - Duluth - LIVE","27","1","10699"</v>
      </c>
      <c r="I28" s="30" t="str">
        <f>"10699"</f>
        <v>10699</v>
      </c>
      <c r="J28" s="31"/>
      <c r="K28" s="32">
        <v>61</v>
      </c>
      <c r="L28" s="33">
        <v>18</v>
      </c>
      <c r="M28" s="33">
        <v>0</v>
      </c>
      <c r="N28" s="34">
        <f>IFERROR(K28-L28-M28," ")</f>
        <v>43</v>
      </c>
      <c r="O28" s="30" t="str">
        <f>"Beverage - Orange Clementine"</f>
        <v>Beverage - Orange Clementine</v>
      </c>
      <c r="P28" s="30" t="str">
        <f>"12 - 16 oz"</f>
        <v>12 - 16 oz</v>
      </c>
      <c r="Q28" s="30" t="str">
        <f>"CASE"</f>
        <v>CASE</v>
      </c>
      <c r="R28" s="30" t="str">
        <f>"DRY"</f>
        <v>DRY</v>
      </c>
      <c r="S28" s="30" t="str">
        <f>"DON"</f>
        <v>DON</v>
      </c>
      <c r="T28" s="30">
        <v>12</v>
      </c>
      <c r="U28" s="44">
        <v>0</v>
      </c>
      <c r="V28" s="36">
        <f>IFERROR($U28*$J28," ")</f>
        <v>0</v>
      </c>
    </row>
    <row r="29" spans="1:22" ht="27.75" customHeight="1" x14ac:dyDescent="0.3">
      <c r="A29" t="s">
        <v>45</v>
      </c>
      <c r="B29" t="str">
        <f t="shared" si="2"/>
        <v/>
      </c>
      <c r="F29" s="1" t="str">
        <f>F28</f>
        <v>03</v>
      </c>
      <c r="G29" s="3"/>
      <c r="H29" s="4" t="str">
        <f>"""Ceres 5 "",""SHNLFB - Duluth - LIVE"",""27"",""1"",""11417"""</f>
        <v>"Ceres 5 ","SHNLFB - Duluth - LIVE","27","1","11417"</v>
      </c>
      <c r="I29" s="30" t="str">
        <f>"11417"</f>
        <v>11417</v>
      </c>
      <c r="J29" s="31"/>
      <c r="K29" s="32">
        <v>586</v>
      </c>
      <c r="L29" s="33">
        <v>57</v>
      </c>
      <c r="M29" s="33">
        <v>0</v>
      </c>
      <c r="N29" s="34">
        <f>IFERROR(K29-L29-M29," ")</f>
        <v>529</v>
      </c>
      <c r="O29" s="30" t="str">
        <f>"Beverage - Sparkling Water, Berry"</f>
        <v>Beverage - Sparkling Water, Berry</v>
      </c>
      <c r="P29" s="30" t="str">
        <f>"8 - 12 oz."</f>
        <v>8 - 12 oz.</v>
      </c>
      <c r="Q29" s="30" t="str">
        <f>"CASE"</f>
        <v>CASE</v>
      </c>
      <c r="R29" s="30" t="str">
        <f>"DRY"</f>
        <v>DRY</v>
      </c>
      <c r="S29" s="30" t="str">
        <f>"DON"</f>
        <v>DON</v>
      </c>
      <c r="T29" s="30">
        <v>8</v>
      </c>
      <c r="U29" s="44">
        <v>0</v>
      </c>
      <c r="V29" s="36">
        <f>IFERROR($U29*$J29," ")</f>
        <v>0</v>
      </c>
    </row>
    <row r="30" spans="1:22" ht="27.75" customHeight="1" x14ac:dyDescent="0.3">
      <c r="A30" t="s">
        <v>45</v>
      </c>
      <c r="B30" t="str">
        <f t="shared" si="2"/>
        <v/>
      </c>
      <c r="F30" s="1" t="str">
        <f>F29</f>
        <v>03</v>
      </c>
      <c r="G30" s="3"/>
      <c r="H30" s="4" t="str">
        <f>"""Ceres 5 "",""SHNLFB - Duluth - LIVE"",""27"",""1"",""11223"""</f>
        <v>"Ceres 5 ","SHNLFB - Duluth - LIVE","27","1","11223"</v>
      </c>
      <c r="I30" s="30" t="str">
        <f>"11223"</f>
        <v>11223</v>
      </c>
      <c r="J30" s="31"/>
      <c r="K30" s="32">
        <v>9</v>
      </c>
      <c r="L30" s="33">
        <v>0</v>
      </c>
      <c r="M30" s="33">
        <v>0</v>
      </c>
      <c r="N30" s="34">
        <f>IFERROR(K30-L30-M30," ")</f>
        <v>9</v>
      </c>
      <c r="O30" s="30" t="str">
        <f>"Beverage - Tea"</f>
        <v>Beverage - Tea</v>
      </c>
      <c r="P30" s="30" t="str">
        <f>"40/ 20 - .2 oz sachets"</f>
        <v>40/ 20 - .2 oz sachets</v>
      </c>
      <c r="Q30" s="30" t="str">
        <f>"CASE"</f>
        <v>CASE</v>
      </c>
      <c r="R30" s="30" t="str">
        <f>"DRY"</f>
        <v>DRY</v>
      </c>
      <c r="S30" s="30" t="str">
        <f>"DON"</f>
        <v>DON</v>
      </c>
      <c r="T30" s="30">
        <v>10</v>
      </c>
      <c r="U30" s="44">
        <v>0</v>
      </c>
      <c r="V30" s="36">
        <f>IFERROR($U30*$J30," ")</f>
        <v>0</v>
      </c>
    </row>
    <row r="31" spans="1:22" ht="27.75" customHeight="1" x14ac:dyDescent="0.3">
      <c r="A31" t="s">
        <v>45</v>
      </c>
      <c r="B31" t="str">
        <f t="shared" si="2"/>
        <v/>
      </c>
      <c r="F31" s="1" t="str">
        <f>F30</f>
        <v>03</v>
      </c>
      <c r="G31" s="3"/>
      <c r="H31" s="4" t="str">
        <f>"""Ceres 5 "",""SHNLFB - Duluth - LIVE"",""27"",""1"",""12088"""</f>
        <v>"Ceres 5 ","SHNLFB - Duluth - LIVE","27","1","12088"</v>
      </c>
      <c r="I31" s="30" t="str">
        <f>"12088"</f>
        <v>12088</v>
      </c>
      <c r="J31" s="31"/>
      <c r="K31" s="32">
        <v>156</v>
      </c>
      <c r="L31" s="33">
        <v>1</v>
      </c>
      <c r="M31" s="33">
        <v>0</v>
      </c>
      <c r="N31" s="34">
        <f>IFERROR(K31-L31-M31," ")</f>
        <v>155</v>
      </c>
      <c r="O31" s="30" t="str">
        <f>"Beverage - Tea, Green"</f>
        <v>Beverage - Tea, Green</v>
      </c>
      <c r="P31" s="30" t="str">
        <f>"12 - 16.9 oz"</f>
        <v>12 - 16.9 oz</v>
      </c>
      <c r="Q31" s="30" t="str">
        <f>"CASE"</f>
        <v>CASE</v>
      </c>
      <c r="R31" s="30" t="str">
        <f>"DRY"</f>
        <v>DRY</v>
      </c>
      <c r="S31" s="30" t="str">
        <f>"DON"</f>
        <v>DON</v>
      </c>
      <c r="T31" s="30">
        <v>13</v>
      </c>
      <c r="U31" s="44">
        <v>0</v>
      </c>
      <c r="V31" s="36">
        <f>IFERROR($U31*$J31," ")</f>
        <v>0</v>
      </c>
    </row>
    <row r="32" spans="1:22" ht="27.75" customHeight="1" x14ac:dyDescent="0.3">
      <c r="A32" t="s">
        <v>45</v>
      </c>
      <c r="B32" t="str">
        <f t="shared" si="2"/>
        <v/>
      </c>
      <c r="F32" s="1" t="str">
        <f>F31</f>
        <v>03</v>
      </c>
      <c r="G32" s="3"/>
      <c r="H32" s="4" t="str">
        <f>"""Ceres 5 "",""SHNLFB - Duluth - LIVE"",""27"",""1"",""10383"""</f>
        <v>"Ceres 5 ","SHNLFB - Duluth - LIVE","27","1","10383"</v>
      </c>
      <c r="I32" s="30" t="str">
        <f>"10383"</f>
        <v>10383</v>
      </c>
      <c r="J32" s="31"/>
      <c r="K32" s="32">
        <v>40</v>
      </c>
      <c r="L32" s="33">
        <v>0</v>
      </c>
      <c r="M32" s="33">
        <v>0</v>
      </c>
      <c r="N32" s="34">
        <f>IFERROR(K32-L32-M32," ")</f>
        <v>40</v>
      </c>
      <c r="O32" s="30" t="str">
        <f>"Beverage - Water"</f>
        <v>Beverage - Water</v>
      </c>
      <c r="P32" s="30" t="str">
        <f>"15 - 50.7 oz"</f>
        <v>15 - 50.7 oz</v>
      </c>
      <c r="Q32" s="30" t="str">
        <f>"CASE"</f>
        <v>CASE</v>
      </c>
      <c r="R32" s="30" t="str">
        <f>"DRY"</f>
        <v>DRY</v>
      </c>
      <c r="S32" s="30" t="str">
        <f>"DON"</f>
        <v>DON</v>
      </c>
      <c r="T32" s="30">
        <v>53</v>
      </c>
      <c r="U32" s="44">
        <v>4.24</v>
      </c>
      <c r="V32" s="36">
        <f>IFERROR($U32*$J32," ")</f>
        <v>0</v>
      </c>
    </row>
    <row r="33" spans="1:22" ht="27.75" customHeight="1" x14ac:dyDescent="0.3">
      <c r="A33" t="s">
        <v>45</v>
      </c>
      <c r="B33" t="str">
        <f t="shared" si="2"/>
        <v/>
      </c>
      <c r="F33" s="1" t="str">
        <f>F32</f>
        <v>03</v>
      </c>
      <c r="G33" s="3"/>
      <c r="H33" s="4" t="str">
        <f>"""Ceres 5 "",""SHNLFB - Duluth - LIVE"",""27"",""1"",""11652"""</f>
        <v>"Ceres 5 ","SHNLFB - Duluth - LIVE","27","1","11652"</v>
      </c>
      <c r="I33" s="30" t="str">
        <f>"11652"</f>
        <v>11652</v>
      </c>
      <c r="J33" s="31"/>
      <c r="K33" s="32">
        <v>84</v>
      </c>
      <c r="L33" s="33">
        <v>20</v>
      </c>
      <c r="M33" s="33">
        <v>0</v>
      </c>
      <c r="N33" s="34">
        <f>IFERROR(K33-L33-M33," ")</f>
        <v>64</v>
      </c>
      <c r="O33" s="30" t="str">
        <f>"Beverage - Water"</f>
        <v>Beverage - Water</v>
      </c>
      <c r="P33" s="30" t="str">
        <f>"24 - 16.9 oz"</f>
        <v>24 - 16.9 oz</v>
      </c>
      <c r="Q33" s="30" t="str">
        <f>"CASE"</f>
        <v>CASE</v>
      </c>
      <c r="R33" s="30" t="str">
        <f>"DRY"</f>
        <v>DRY</v>
      </c>
      <c r="S33" s="30" t="str">
        <f>"DON"</f>
        <v>DON</v>
      </c>
      <c r="T33" s="30">
        <v>26</v>
      </c>
      <c r="U33" s="44">
        <v>0</v>
      </c>
      <c r="V33" s="36">
        <f>IFERROR($U33*$J33," ")</f>
        <v>0</v>
      </c>
    </row>
    <row r="34" spans="1:22" ht="27.75" customHeight="1" x14ac:dyDescent="0.3">
      <c r="A34" t="s">
        <v>45</v>
      </c>
      <c r="B34" t="str">
        <f t="shared" si="2"/>
        <v/>
      </c>
      <c r="F34" s="1" t="str">
        <f>F33</f>
        <v>03</v>
      </c>
      <c r="G34" s="3"/>
      <c r="H34" s="4" t="str">
        <f>"""Ceres 5 "",""SHNLFB - Duluth - LIVE"",""27"",""1"",""11106"""</f>
        <v>"Ceres 5 ","SHNLFB - Duluth - LIVE","27","1","11106"</v>
      </c>
      <c r="I34" s="30" t="str">
        <f>"11106"</f>
        <v>11106</v>
      </c>
      <c r="J34" s="31"/>
      <c r="K34" s="32">
        <v>101</v>
      </c>
      <c r="L34" s="33">
        <v>25</v>
      </c>
      <c r="M34" s="33">
        <v>0</v>
      </c>
      <c r="N34" s="34">
        <f>IFERROR(K34-L34-M34," ")</f>
        <v>76</v>
      </c>
      <c r="O34" s="30" t="str">
        <f>"Beverage - Water, Kiwi Strawberry"</f>
        <v>Beverage - Water, Kiwi Strawberry</v>
      </c>
      <c r="P34" s="30" t="str">
        <f>"24 - 16.9 oz."</f>
        <v>24 - 16.9 oz.</v>
      </c>
      <c r="Q34" s="30" t="str">
        <f>"CASE"</f>
        <v>CASE</v>
      </c>
      <c r="R34" s="30" t="str">
        <f>"DRY"</f>
        <v>DRY</v>
      </c>
      <c r="S34" s="30" t="str">
        <f>"DON"</f>
        <v>DON</v>
      </c>
      <c r="T34" s="30">
        <v>28</v>
      </c>
      <c r="U34" s="44">
        <v>0</v>
      </c>
      <c r="V34" s="36">
        <f>IFERROR($U34*$J34," ")</f>
        <v>0</v>
      </c>
    </row>
    <row r="35" spans="1:22" ht="27.75" customHeight="1" x14ac:dyDescent="0.3">
      <c r="A35" t="s">
        <v>45</v>
      </c>
      <c r="B35" t="str">
        <f t="shared" si="2"/>
        <v/>
      </c>
      <c r="F35" s="1" t="str">
        <f>F34</f>
        <v>03</v>
      </c>
      <c r="G35" s="3"/>
      <c r="H35" s="4" t="str">
        <f>"""Ceres 5 "",""SHNLFB - Duluth - LIVE"",""27"",""1"",""11193"""</f>
        <v>"Ceres 5 ","SHNLFB - Duluth - LIVE","27","1","11193"</v>
      </c>
      <c r="I35" s="30" t="str">
        <f>"11193"</f>
        <v>11193</v>
      </c>
      <c r="J35" s="31"/>
      <c r="K35" s="32">
        <v>42</v>
      </c>
      <c r="L35" s="33">
        <v>29</v>
      </c>
      <c r="M35" s="33">
        <v>0</v>
      </c>
      <c r="N35" s="34">
        <f>IFERROR(K35-L35-M35," ")</f>
        <v>13</v>
      </c>
      <c r="O35" s="30" t="str">
        <f>"Beverage - Water, Mineral, Flavored"</f>
        <v>Beverage - Water, Mineral, Flavored</v>
      </c>
      <c r="P35" s="30" t="str">
        <f>"24 - 16.9 oz"</f>
        <v>24 - 16.9 oz</v>
      </c>
      <c r="Q35" s="30" t="str">
        <f>"CASE"</f>
        <v>CASE</v>
      </c>
      <c r="R35" s="30" t="str">
        <f>"DRY"</f>
        <v>DRY</v>
      </c>
      <c r="S35" s="30" t="str">
        <f>"DON"</f>
        <v>DON</v>
      </c>
      <c r="T35" s="30">
        <v>30</v>
      </c>
      <c r="U35" s="44">
        <v>0</v>
      </c>
      <c r="V35" s="36">
        <f>IFERROR($U35*$J35," ")</f>
        <v>0</v>
      </c>
    </row>
    <row r="36" spans="1:22" ht="27.75" customHeight="1" x14ac:dyDescent="0.3">
      <c r="A36" t="s">
        <v>45</v>
      </c>
      <c r="B36" t="str">
        <f t="shared" si="2"/>
        <v/>
      </c>
      <c r="F36" s="1" t="str">
        <f>F35</f>
        <v>03</v>
      </c>
      <c r="G36" s="3"/>
      <c r="H36" s="4" t="str">
        <f>"""Ceres 5 "",""SHNLFB - Duluth - LIVE"",""27"",""1"",""12184"""</f>
        <v>"Ceres 5 ","SHNLFB - Duluth - LIVE","27","1","12184"</v>
      </c>
      <c r="I36" s="30" t="str">
        <f>"12184"</f>
        <v>12184</v>
      </c>
      <c r="J36" s="31"/>
      <c r="K36" s="32">
        <v>56</v>
      </c>
      <c r="L36" s="33">
        <v>13</v>
      </c>
      <c r="M36" s="33">
        <v>0</v>
      </c>
      <c r="N36" s="34">
        <f>IFERROR(K36-L36-M36," ")</f>
        <v>43</v>
      </c>
      <c r="O36" s="30" t="str">
        <f>"HW-Beverage - Coffee "</f>
        <v xml:space="preserve">HW-Beverage - Coffee </v>
      </c>
      <c r="P36" s="30" t="str">
        <f>"6-26 oz"</f>
        <v>6-26 oz</v>
      </c>
      <c r="Q36" s="30" t="str">
        <f>"CASE"</f>
        <v>CASE</v>
      </c>
      <c r="R36" s="30" t="str">
        <f>"DRY"</f>
        <v>DRY</v>
      </c>
      <c r="S36" s="30" t="str">
        <f>"BBPUR"</f>
        <v>BBPUR</v>
      </c>
      <c r="T36" s="30">
        <v>12</v>
      </c>
      <c r="U36" s="44">
        <v>37.820999999999998</v>
      </c>
      <c r="V36" s="36">
        <f>IFERROR($U36*$J36," ")</f>
        <v>0</v>
      </c>
    </row>
    <row r="37" spans="1:22" ht="27.75" customHeight="1" x14ac:dyDescent="0.3">
      <c r="A37" t="s">
        <v>45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27.75" customHeight="1" x14ac:dyDescent="0.3">
      <c r="A38" t="s">
        <v>45</v>
      </c>
      <c r="F38" s="1" t="str">
        <f>G38</f>
        <v>04</v>
      </c>
      <c r="G38" s="3" t="str">
        <f>"04"</f>
        <v>04</v>
      </c>
      <c r="H38" s="4"/>
      <c r="I38" s="30"/>
      <c r="J38" s="21" t="str">
        <f>"Bread/Bakery: Bread, Biscuits, Rolls, Batter, Tortillas, Pie Crusts"</f>
        <v>Bread/Bakery: Bread, Biscuits, Rolls, Batter, Tortillas, Pie Crusts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7.75" customHeight="1" x14ac:dyDescent="0.3">
      <c r="A39" t="s">
        <v>45</v>
      </c>
      <c r="B39" t="str">
        <f t="shared" ref="B39" si="3">IF(N39=0,"hide","")</f>
        <v/>
      </c>
      <c r="F39" s="1" t="str">
        <f>F38</f>
        <v>04</v>
      </c>
      <c r="G39" s="3"/>
      <c r="H39" s="4" t="str">
        <f>"""Ceres 5 "",""SHNLFB - Duluth - LIVE"",""27"",""1"",""10013"""</f>
        <v>"Ceres 5 ","SHNLFB - Duluth - LIVE","27","1","10013"</v>
      </c>
      <c r="I39" s="30" t="str">
        <f>"10013"</f>
        <v>10013</v>
      </c>
      <c r="J39" s="31"/>
      <c r="K39" s="32">
        <v>4602.75</v>
      </c>
      <c r="L39" s="33">
        <v>0.25</v>
      </c>
      <c r="M39" s="33">
        <v>0</v>
      </c>
      <c r="N39" s="34">
        <f>IFERROR(K39-L39-M39," ")</f>
        <v>4602.5</v>
      </c>
      <c r="O39" s="30" t="str">
        <f>"Assorted Baked Goods"</f>
        <v>Assorted Baked Goods</v>
      </c>
      <c r="P39" s="30" t="str">
        <f>"1 Pallet"</f>
        <v>1 Pallet</v>
      </c>
      <c r="Q39" s="30" t="str">
        <f>"CONTAINER"</f>
        <v>CONTAINER</v>
      </c>
      <c r="R39" s="30" t="str">
        <f>"FROZEN"</f>
        <v>FROZEN</v>
      </c>
      <c r="S39" s="30" t="str">
        <f>"DON"</f>
        <v>DON</v>
      </c>
      <c r="T39" s="30">
        <v>1</v>
      </c>
      <c r="U39" s="44">
        <v>0</v>
      </c>
      <c r="V39" s="36">
        <f>IFERROR($U39*$J39," ")</f>
        <v>0</v>
      </c>
    </row>
    <row r="40" spans="1:22" ht="27.75" customHeight="1" x14ac:dyDescent="0.3">
      <c r="A40" t="s">
        <v>45</v>
      </c>
      <c r="B40" t="str">
        <f t="shared" ref="B40:B42" si="4">IF(N40=0,"hide","")</f>
        <v/>
      </c>
      <c r="F40" s="1" t="str">
        <f>F39</f>
        <v>04</v>
      </c>
      <c r="G40" s="3"/>
      <c r="H40" s="4" t="str">
        <f>"""Ceres 5 "",""SHNLFB - Duluth - LIVE"",""27"",""1"",""11561"""</f>
        <v>"Ceres 5 ","SHNLFB - Duluth - LIVE","27","1","11561"</v>
      </c>
      <c r="I40" s="30" t="str">
        <f>"11561"</f>
        <v>11561</v>
      </c>
      <c r="J40" s="31"/>
      <c r="K40" s="32">
        <v>112</v>
      </c>
      <c r="L40" s="33">
        <v>42</v>
      </c>
      <c r="M40" s="33">
        <v>0</v>
      </c>
      <c r="N40" s="34">
        <f>IFERROR(K40-L40-M40," ")</f>
        <v>70</v>
      </c>
      <c r="O40" s="30" t="str">
        <f>"Bakery - Pecan Pie"</f>
        <v>Bakery - Pecan Pie</v>
      </c>
      <c r="P40" s="30" t="str">
        <f>"6 - 36 oz"</f>
        <v>6 - 36 oz</v>
      </c>
      <c r="Q40" s="30" t="str">
        <f>"CASE"</f>
        <v>CASE</v>
      </c>
      <c r="R40" s="30" t="str">
        <f>"FROZEN"</f>
        <v>FROZEN</v>
      </c>
      <c r="S40" s="30" t="str">
        <f>"DON"</f>
        <v>DON</v>
      </c>
      <c r="T40" s="30">
        <v>18</v>
      </c>
      <c r="U40" s="44">
        <v>0</v>
      </c>
      <c r="V40" s="36">
        <f>IFERROR($U40*$J40," ")</f>
        <v>0</v>
      </c>
    </row>
    <row r="41" spans="1:22" ht="27.75" customHeight="1" x14ac:dyDescent="0.3">
      <c r="A41" t="s">
        <v>45</v>
      </c>
      <c r="B41" t="str">
        <f t="shared" si="4"/>
        <v/>
      </c>
      <c r="F41" s="1" t="str">
        <f>F40</f>
        <v>04</v>
      </c>
      <c r="G41" s="3"/>
      <c r="H41" s="4" t="str">
        <f>"""Ceres 5 "",""SHNLFB - Duluth - LIVE"",""27"",""1"",""12563"""</f>
        <v>"Ceres 5 ","SHNLFB - Duluth - LIVE","27","1","12563"</v>
      </c>
      <c r="I41" s="30" t="str">
        <f>"12563"</f>
        <v>12563</v>
      </c>
      <c r="J41" s="31"/>
      <c r="K41" s="32">
        <v>20</v>
      </c>
      <c r="L41" s="33">
        <v>0</v>
      </c>
      <c r="M41" s="33">
        <v>0</v>
      </c>
      <c r="N41" s="34">
        <f>IFERROR(K41-L41-M41," ")</f>
        <v>20</v>
      </c>
      <c r="O41" s="30" t="str">
        <f>"Bakery - Taco Shells, Super"</f>
        <v>Bakery - Taco Shells, Super</v>
      </c>
      <c r="P41" s="30" t="str">
        <f>"200 Shells"</f>
        <v>200 Shells</v>
      </c>
      <c r="Q41" s="30" t="str">
        <f>"CASE"</f>
        <v>CASE</v>
      </c>
      <c r="R41" s="30" t="str">
        <f>"DRY"</f>
        <v>DRY</v>
      </c>
      <c r="S41" s="30" t="str">
        <f>"DON"</f>
        <v>DON</v>
      </c>
      <c r="T41" s="30">
        <v>10</v>
      </c>
      <c r="U41" s="44">
        <v>0</v>
      </c>
      <c r="V41" s="36">
        <f>IFERROR($U41*$J41," ")</f>
        <v>0</v>
      </c>
    </row>
    <row r="42" spans="1:22" ht="27.75" customHeight="1" x14ac:dyDescent="0.3">
      <c r="A42" t="s">
        <v>45</v>
      </c>
      <c r="B42" t="str">
        <f t="shared" si="4"/>
        <v/>
      </c>
      <c r="F42" s="1" t="str">
        <f>F41</f>
        <v>04</v>
      </c>
      <c r="G42" s="3"/>
      <c r="H42" s="4" t="str">
        <f>"""Ceres 5 "",""SHNLFB - Duluth - LIVE"",""27"",""1"",""10978"""</f>
        <v>"Ceres 5 ","SHNLFB - Duluth - LIVE","27","1","10978"</v>
      </c>
      <c r="I42" s="30" t="str">
        <f>"10978"</f>
        <v>10978</v>
      </c>
      <c r="J42" s="31"/>
      <c r="K42" s="32">
        <v>34</v>
      </c>
      <c r="L42" s="33">
        <v>20</v>
      </c>
      <c r="M42" s="33">
        <v>0</v>
      </c>
      <c r="N42" s="34">
        <f>IFERROR(K42-L42-M42," ")</f>
        <v>14</v>
      </c>
      <c r="O42" s="30" t="str">
        <f>"Bakery - Tortillas, soft"</f>
        <v>Bakery - Tortillas, soft</v>
      </c>
      <c r="P42" s="30" t="str">
        <f>"12 - 8 ct"</f>
        <v>12 - 8 ct</v>
      </c>
      <c r="Q42" s="30" t="str">
        <f>"CASE"</f>
        <v>CASE</v>
      </c>
      <c r="R42" s="30" t="str">
        <f>"DRY"</f>
        <v>DRY</v>
      </c>
      <c r="S42" s="30" t="str">
        <f>"DON"</f>
        <v>DON</v>
      </c>
      <c r="T42" s="30">
        <v>7</v>
      </c>
      <c r="U42" s="44">
        <v>0</v>
      </c>
      <c r="V42" s="36">
        <f>IFERROR($U42*$J42," ")</f>
        <v>0</v>
      </c>
    </row>
    <row r="43" spans="1:22" ht="27.75" customHeight="1" x14ac:dyDescent="0.3">
      <c r="A43" t="s">
        <v>45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27.75" customHeight="1" x14ac:dyDescent="0.3">
      <c r="A44" t="s">
        <v>45</v>
      </c>
      <c r="F44" s="1" t="str">
        <f>G44</f>
        <v>05</v>
      </c>
      <c r="G44" s="3" t="str">
        <f>"05"</f>
        <v>05</v>
      </c>
      <c r="H44" s="4"/>
      <c r="I44" s="30"/>
      <c r="J44" s="21" t="str">
        <f>"Cereal:  Hot and Cold"</f>
        <v>Cereal:  Hot and Cold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7.75" customHeight="1" x14ac:dyDescent="0.3">
      <c r="A45" t="s">
        <v>45</v>
      </c>
      <c r="B45" t="str">
        <f t="shared" ref="B45" si="5">IF(N45=0,"hide","")</f>
        <v/>
      </c>
      <c r="F45" s="1" t="str">
        <f>F44</f>
        <v>05</v>
      </c>
      <c r="G45" s="3"/>
      <c r="H45" s="4" t="str">
        <f>"""Ceres 5 "",""SHNLFB - Duluth - LIVE"",""27"",""1"",""10891"""</f>
        <v>"Ceres 5 ","SHNLFB - Duluth - LIVE","27","1","10891"</v>
      </c>
      <c r="I45" s="30" t="str">
        <f>"10891"</f>
        <v>10891</v>
      </c>
      <c r="J45" s="31"/>
      <c r="K45" s="32">
        <v>4</v>
      </c>
      <c r="L45" s="33">
        <v>1</v>
      </c>
      <c r="M45" s="33">
        <v>0</v>
      </c>
      <c r="N45" s="34">
        <f>IFERROR(K45-L45-M45," ")</f>
        <v>3</v>
      </c>
      <c r="O45" s="30" t="str">
        <f>"Cereal - Birthday Cake Pebbles"</f>
        <v>Cereal - Birthday Cake Pebbles</v>
      </c>
      <c r="P45" s="30" t="str">
        <f>"10 - 19 oz"</f>
        <v>10 - 19 oz</v>
      </c>
      <c r="Q45" s="30" t="str">
        <f>"CASE"</f>
        <v>CASE</v>
      </c>
      <c r="R45" s="30" t="str">
        <f>"DRY"</f>
        <v>DRY</v>
      </c>
      <c r="S45" s="30" t="str">
        <f>"DON"</f>
        <v>DON</v>
      </c>
      <c r="T45" s="30">
        <v>13</v>
      </c>
      <c r="U45" s="44">
        <v>2.4700000000000002</v>
      </c>
      <c r="V45" s="36">
        <f>IFERROR($U45*$J45," ")</f>
        <v>0</v>
      </c>
    </row>
    <row r="46" spans="1:22" ht="27.75" customHeight="1" x14ac:dyDescent="0.3">
      <c r="A46" t="s">
        <v>45</v>
      </c>
      <c r="B46" t="str">
        <f t="shared" ref="B46:B56" si="6">IF(N46=0,"hide","")</f>
        <v/>
      </c>
      <c r="F46" s="1" t="str">
        <f>F45</f>
        <v>05</v>
      </c>
      <c r="G46" s="3"/>
      <c r="H46" s="4" t="str">
        <f>"""Ceres 5 "",""SHNLFB - Duluth - LIVE"",""27"",""1"",""10885"""</f>
        <v>"Ceres 5 ","SHNLFB - Duluth - LIVE","27","1","10885"</v>
      </c>
      <c r="I46" s="30" t="str">
        <f>"10885"</f>
        <v>10885</v>
      </c>
      <c r="J46" s="31"/>
      <c r="K46" s="32">
        <v>8</v>
      </c>
      <c r="L46" s="33">
        <v>0</v>
      </c>
      <c r="M46" s="33">
        <v>0</v>
      </c>
      <c r="N46" s="34">
        <f>IFERROR(K46-L46-M46," ")</f>
        <v>8</v>
      </c>
      <c r="O46" s="30" t="str">
        <f>"Cereal - Cheerios"</f>
        <v>Cereal - Cheerios</v>
      </c>
      <c r="P46" s="30" t="str">
        <f>"2 - 20.35 oz"</f>
        <v>2 - 20.35 oz</v>
      </c>
      <c r="Q46" s="30" t="str">
        <f>"CASE"</f>
        <v>CASE</v>
      </c>
      <c r="R46" s="30" t="str">
        <f>"DRY"</f>
        <v>DRY</v>
      </c>
      <c r="S46" s="30" t="str">
        <f>"DON"</f>
        <v>DON</v>
      </c>
      <c r="T46" s="30">
        <v>4</v>
      </c>
      <c r="U46" s="44">
        <v>0.76</v>
      </c>
      <c r="V46" s="36">
        <f>IFERROR($U46*$J46," ")</f>
        <v>0</v>
      </c>
    </row>
    <row r="47" spans="1:22" ht="27.75" customHeight="1" x14ac:dyDescent="0.3">
      <c r="A47" t="s">
        <v>45</v>
      </c>
      <c r="B47" t="str">
        <f t="shared" si="6"/>
        <v/>
      </c>
      <c r="F47" s="1" t="str">
        <f>F46</f>
        <v>05</v>
      </c>
      <c r="G47" s="3"/>
      <c r="H47" s="4" t="str">
        <f>"""Ceres 5 "",""SHNLFB - Duluth - LIVE"",""27"",""1"",""11159"""</f>
        <v>"Ceres 5 ","SHNLFB - Duluth - LIVE","27","1","11159"</v>
      </c>
      <c r="I47" s="30" t="str">
        <f>"11159"</f>
        <v>11159</v>
      </c>
      <c r="J47" s="31"/>
      <c r="K47" s="32">
        <v>12</v>
      </c>
      <c r="L47" s="33">
        <v>0</v>
      </c>
      <c r="M47" s="33">
        <v>0</v>
      </c>
      <c r="N47" s="34">
        <f>IFERROR(K47-L47-M47," ")</f>
        <v>12</v>
      </c>
      <c r="O47" s="30" t="str">
        <f>"Cereal - Fruity Pebbles"</f>
        <v>Cereal - Fruity Pebbles</v>
      </c>
      <c r="P47" s="30" t="str">
        <f>"96 - 1 oz"</f>
        <v>96 - 1 oz</v>
      </c>
      <c r="Q47" s="30" t="str">
        <f>"CASE"</f>
        <v>CASE</v>
      </c>
      <c r="R47" s="30" t="str">
        <f>"DRY"</f>
        <v>DRY</v>
      </c>
      <c r="S47" s="30" t="str">
        <f>"DON"</f>
        <v>DON</v>
      </c>
      <c r="T47" s="30">
        <v>6</v>
      </c>
      <c r="U47" s="44">
        <v>1.1399999999999999</v>
      </c>
      <c r="V47" s="36">
        <f>IFERROR($U47*$J47," ")</f>
        <v>0</v>
      </c>
    </row>
    <row r="48" spans="1:22" ht="27.75" customHeight="1" x14ac:dyDescent="0.3">
      <c r="A48" t="s">
        <v>45</v>
      </c>
      <c r="B48" t="str">
        <f t="shared" si="6"/>
        <v/>
      </c>
      <c r="F48" s="1" t="str">
        <f>F47</f>
        <v>05</v>
      </c>
      <c r="G48" s="3"/>
      <c r="H48" s="4" t="str">
        <f>"""Ceres 5 "",""SHNLFB - Duluth - LIVE"",""27"",""1"",""10607"""</f>
        <v>"Ceres 5 ","SHNLFB - Duluth - LIVE","27","1","10607"</v>
      </c>
      <c r="I48" s="30" t="str">
        <f>"10607"</f>
        <v>10607</v>
      </c>
      <c r="J48" s="31"/>
      <c r="K48" s="32">
        <v>42</v>
      </c>
      <c r="L48" s="33">
        <v>12</v>
      </c>
      <c r="M48" s="33">
        <v>0</v>
      </c>
      <c r="N48" s="34">
        <f>IFERROR(K48-L48-M48," ")</f>
        <v>30</v>
      </c>
      <c r="O48" s="30" t="str">
        <f>"Cereal - Honey Nut Cheerios"</f>
        <v>Cereal - Honey Nut Cheerios</v>
      </c>
      <c r="P48" s="30" t="str">
        <f>"14 - 18.8 oz"</f>
        <v>14 - 18.8 oz</v>
      </c>
      <c r="Q48" s="30" t="str">
        <f>"CASE"</f>
        <v>CASE</v>
      </c>
      <c r="R48" s="30" t="str">
        <f>"DRY"</f>
        <v>DRY</v>
      </c>
      <c r="S48" s="30" t="str">
        <f>"DON"</f>
        <v>DON</v>
      </c>
      <c r="T48" s="30">
        <v>17</v>
      </c>
      <c r="U48" s="44">
        <v>3.23</v>
      </c>
      <c r="V48" s="36">
        <f>IFERROR($U48*$J48," ")</f>
        <v>0</v>
      </c>
    </row>
    <row r="49" spans="1:22" ht="27.75" customHeight="1" x14ac:dyDescent="0.3">
      <c r="A49" t="s">
        <v>45</v>
      </c>
      <c r="B49" t="str">
        <f t="shared" si="6"/>
        <v/>
      </c>
      <c r="F49" s="1" t="str">
        <f>F48</f>
        <v>05</v>
      </c>
      <c r="G49" s="3"/>
      <c r="H49" s="4" t="str">
        <f>"""Ceres 5 "",""SHNLFB - Duluth - LIVE"",""27"",""1"",""11422"""</f>
        <v>"Ceres 5 ","SHNLFB - Duluth - LIVE","27","1","11422"</v>
      </c>
      <c r="I49" s="30" t="str">
        <f>"11422"</f>
        <v>11422</v>
      </c>
      <c r="J49" s="31"/>
      <c r="K49" s="32">
        <v>53</v>
      </c>
      <c r="L49" s="33">
        <v>0</v>
      </c>
      <c r="M49" s="33">
        <v>0</v>
      </c>
      <c r="N49" s="34">
        <f>IFERROR(K49-L49-M49," ")</f>
        <v>53</v>
      </c>
      <c r="O49" s="30" t="str">
        <f>"Cereal - Honey Nut Cheerios"</f>
        <v>Cereal - Honey Nut Cheerios</v>
      </c>
      <c r="P49" s="30" t="str">
        <f>"60 - 2 oz"</f>
        <v>60 - 2 oz</v>
      </c>
      <c r="Q49" s="30" t="str">
        <f>"CASE"</f>
        <v>CASE</v>
      </c>
      <c r="R49" s="30" t="str">
        <f>"DRY"</f>
        <v>DRY</v>
      </c>
      <c r="S49" s="30" t="str">
        <f>"DON"</f>
        <v>DON</v>
      </c>
      <c r="T49" s="30">
        <v>8</v>
      </c>
      <c r="U49" s="44">
        <v>0</v>
      </c>
      <c r="V49" s="36">
        <f>IFERROR($U49*$J49," ")</f>
        <v>0</v>
      </c>
    </row>
    <row r="50" spans="1:22" ht="27.75" customHeight="1" x14ac:dyDescent="0.3">
      <c r="A50" t="s">
        <v>45</v>
      </c>
      <c r="B50" t="str">
        <f t="shared" si="6"/>
        <v/>
      </c>
      <c r="F50" s="1" t="str">
        <f>F49</f>
        <v>05</v>
      </c>
      <c r="G50" s="3"/>
      <c r="H50" s="4" t="str">
        <f>"""Ceres 5 "",""SHNLFB - Duluth - LIVE"",""27"",""1"",""11958"""</f>
        <v>"Ceres 5 ","SHNLFB - Duluth - LIVE","27","1","11958"</v>
      </c>
      <c r="I50" s="30" t="str">
        <f>"11958"</f>
        <v>11958</v>
      </c>
      <c r="J50" s="31"/>
      <c r="K50" s="32">
        <v>29</v>
      </c>
      <c r="L50" s="33">
        <v>6</v>
      </c>
      <c r="M50" s="33">
        <v>0</v>
      </c>
      <c r="N50" s="34">
        <f>IFERROR(K50-L50-M50," ")</f>
        <v>23</v>
      </c>
      <c r="O50" s="30" t="str">
        <f>"Cereal - Nut Hoops"</f>
        <v>Cereal - Nut Hoops</v>
      </c>
      <c r="P50" s="30" t="str">
        <f>"10 - 12.25 oz"</f>
        <v>10 - 12.25 oz</v>
      </c>
      <c r="Q50" s="30" t="str">
        <f>"CASE"</f>
        <v>CASE</v>
      </c>
      <c r="R50" s="30" t="str">
        <f>"DRY"</f>
        <v>DRY</v>
      </c>
      <c r="S50" s="30" t="str">
        <f>"DON"</f>
        <v>DON</v>
      </c>
      <c r="T50" s="30">
        <v>9</v>
      </c>
      <c r="U50" s="44">
        <v>1.71</v>
      </c>
      <c r="V50" s="36">
        <f>IFERROR($U50*$J50," ")</f>
        <v>0</v>
      </c>
    </row>
    <row r="51" spans="1:22" ht="27.75" customHeight="1" x14ac:dyDescent="0.3">
      <c r="A51" t="s">
        <v>45</v>
      </c>
      <c r="B51" t="str">
        <f t="shared" si="6"/>
        <v/>
      </c>
      <c r="F51" s="1" t="str">
        <f>F50</f>
        <v>05</v>
      </c>
      <c r="G51" s="3"/>
      <c r="H51" s="4" t="str">
        <f>"""Ceres 5 "",""SHNLFB - Duluth - LIVE"",""27"",""1"",""11500"""</f>
        <v>"Ceres 5 ","SHNLFB - Duluth - LIVE","27","1","11500"</v>
      </c>
      <c r="I51" s="30" t="str">
        <f>"11500"</f>
        <v>11500</v>
      </c>
      <c r="J51" s="31"/>
      <c r="K51" s="32">
        <v>158</v>
      </c>
      <c r="L51" s="33">
        <v>10</v>
      </c>
      <c r="M51" s="33">
        <v>0</v>
      </c>
      <c r="N51" s="34">
        <f>IFERROR(K51-L51-M51," ")</f>
        <v>148</v>
      </c>
      <c r="O51" s="30" t="str">
        <f>"Cereal - Oatmeal"</f>
        <v>Cereal - Oatmeal</v>
      </c>
      <c r="P51" s="30" t="str">
        <f>"6 - 30 oz."</f>
        <v>6 - 30 oz.</v>
      </c>
      <c r="Q51" s="30" t="str">
        <f>"CASE"</f>
        <v>CASE</v>
      </c>
      <c r="R51" s="30" t="str">
        <f>"DRY"</f>
        <v>DRY</v>
      </c>
      <c r="S51" s="30" t="str">
        <f>"DON"</f>
        <v>DON</v>
      </c>
      <c r="T51" s="30">
        <v>12</v>
      </c>
      <c r="U51" s="44">
        <v>2.2799999999999998</v>
      </c>
      <c r="V51" s="36">
        <f>IFERROR($U51*$J51," ")</f>
        <v>0</v>
      </c>
    </row>
    <row r="52" spans="1:22" ht="27.75" customHeight="1" x14ac:dyDescent="0.3">
      <c r="A52" t="s">
        <v>45</v>
      </c>
      <c r="B52" t="str">
        <f t="shared" si="6"/>
        <v/>
      </c>
      <c r="F52" s="1" t="str">
        <f>F51</f>
        <v>05</v>
      </c>
      <c r="G52" s="3"/>
      <c r="H52" s="4" t="str">
        <f>"""Ceres 5 "",""SHNLFB - Duluth - LIVE"",""27"",""1"",""11966"""</f>
        <v>"Ceres 5 ","SHNLFB - Duluth - LIVE","27","1","11966"</v>
      </c>
      <c r="I52" s="30" t="str">
        <f>"11966"</f>
        <v>11966</v>
      </c>
      <c r="J52" s="31"/>
      <c r="K52" s="32">
        <v>22</v>
      </c>
      <c r="L52" s="33">
        <v>8</v>
      </c>
      <c r="M52" s="33">
        <v>0</v>
      </c>
      <c r="N52" s="34">
        <f>IFERROR(K52-L52-M52," ")</f>
        <v>14</v>
      </c>
      <c r="O52" s="30" t="str">
        <f>"Cereal - Sugar Cookie"</f>
        <v>Cereal - Sugar Cookie</v>
      </c>
      <c r="P52" s="30" t="str">
        <f>"12 - 8.1 oz"</f>
        <v>12 - 8.1 oz</v>
      </c>
      <c r="Q52" s="30" t="str">
        <f>"CASE"</f>
        <v>CASE</v>
      </c>
      <c r="R52" s="30" t="str">
        <f>"DRY"</f>
        <v>DRY</v>
      </c>
      <c r="S52" s="30" t="str">
        <f>"DON"</f>
        <v>DON</v>
      </c>
      <c r="T52" s="30">
        <v>8</v>
      </c>
      <c r="U52" s="44">
        <v>0</v>
      </c>
      <c r="V52" s="36">
        <f>IFERROR($U52*$J52," ")</f>
        <v>0</v>
      </c>
    </row>
    <row r="53" spans="1:22" ht="27.75" customHeight="1" x14ac:dyDescent="0.3">
      <c r="A53" t="s">
        <v>45</v>
      </c>
      <c r="B53" t="str">
        <f t="shared" si="6"/>
        <v/>
      </c>
      <c r="F53" s="1" t="str">
        <f>F52</f>
        <v>05</v>
      </c>
      <c r="G53" s="3"/>
      <c r="H53" s="4" t="str">
        <f>"""Ceres 5 "",""SHNLFB - Duluth - LIVE"",""27"",""1"",""10897"""</f>
        <v>"Ceres 5 ","SHNLFB - Duluth - LIVE","27","1","10897"</v>
      </c>
      <c r="I53" s="30" t="str">
        <f>"10897"</f>
        <v>10897</v>
      </c>
      <c r="J53" s="31"/>
      <c r="K53" s="32">
        <v>283</v>
      </c>
      <c r="L53" s="33">
        <v>63</v>
      </c>
      <c r="M53" s="33">
        <v>0</v>
      </c>
      <c r="N53" s="34">
        <f>IFERROR(K53-L53-M53," ")</f>
        <v>220</v>
      </c>
      <c r="O53" s="30" t="str">
        <f>"Cereal - Toasted Oats"</f>
        <v>Cereal - Toasted Oats</v>
      </c>
      <c r="P53" s="30" t="str">
        <f>"8 - 20 oz"</f>
        <v>8 - 20 oz</v>
      </c>
      <c r="Q53" s="30" t="str">
        <f>"CASE"</f>
        <v>CASE</v>
      </c>
      <c r="R53" s="30" t="str">
        <f>"DRY"</f>
        <v>DRY</v>
      </c>
      <c r="S53" s="30" t="str">
        <f>"DON"</f>
        <v>DON</v>
      </c>
      <c r="T53" s="30">
        <v>12</v>
      </c>
      <c r="U53" s="44">
        <v>2.2799999999999998</v>
      </c>
      <c r="V53" s="36">
        <f>IFERROR($U53*$J53," ")</f>
        <v>0</v>
      </c>
    </row>
    <row r="54" spans="1:22" ht="27.75" customHeight="1" x14ac:dyDescent="0.3">
      <c r="A54" t="s">
        <v>45</v>
      </c>
      <c r="B54" t="str">
        <f t="shared" si="6"/>
        <v/>
      </c>
      <c r="F54" s="1" t="str">
        <f>F53</f>
        <v>05</v>
      </c>
      <c r="G54" s="3"/>
      <c r="H54" s="4" t="str">
        <f>"""Ceres 5 "",""SHNLFB - Duluth - LIVE"",""27"",""1"",""12867"""</f>
        <v>"Ceres 5 ","SHNLFB - Duluth - LIVE","27","1","12867"</v>
      </c>
      <c r="I54" s="30" t="str">
        <f>"12867"</f>
        <v>12867</v>
      </c>
      <c r="J54" s="31"/>
      <c r="K54" s="32">
        <v>15</v>
      </c>
      <c r="L54" s="33">
        <v>0</v>
      </c>
      <c r="M54" s="33">
        <v>0</v>
      </c>
      <c r="N54" s="34">
        <f>IFERROR(K54-L54-M54," ")</f>
        <v>15</v>
      </c>
      <c r="O54" s="30" t="str">
        <f>"HW-Cereal - Corn Flakes"</f>
        <v>HW-Cereal - Corn Flakes</v>
      </c>
      <c r="P54" s="30" t="str">
        <f>"10 - 17.63 oz"</f>
        <v>10 - 17.63 oz</v>
      </c>
      <c r="Q54" s="30" t="str">
        <f>"CASE"</f>
        <v>CASE</v>
      </c>
      <c r="R54" s="30" t="str">
        <f>"DRY"</f>
        <v>DRY</v>
      </c>
      <c r="S54" s="30" t="str">
        <f>"BBPUR"</f>
        <v>BBPUR</v>
      </c>
      <c r="T54" s="30">
        <v>13</v>
      </c>
      <c r="U54" s="44">
        <v>11.4765</v>
      </c>
      <c r="V54" s="36">
        <f>IFERROR($U54*$J54," ")</f>
        <v>0</v>
      </c>
    </row>
    <row r="55" spans="1:22" ht="27.75" customHeight="1" x14ac:dyDescent="0.3">
      <c r="A55" t="s">
        <v>45</v>
      </c>
      <c r="B55" t="str">
        <f t="shared" si="6"/>
        <v/>
      </c>
      <c r="F55" s="1" t="str">
        <f>F54</f>
        <v>05</v>
      </c>
      <c r="G55" s="3"/>
      <c r="H55" s="4" t="str">
        <f>"""Ceres 5 "",""SHNLFB - Duluth - LIVE"",""27"",""1"",""13554"""</f>
        <v>"Ceres 5 ","SHNLFB - Duluth - LIVE","27","1","13554"</v>
      </c>
      <c r="I55" s="30" t="str">
        <f>"13554"</f>
        <v>13554</v>
      </c>
      <c r="J55" s="31"/>
      <c r="K55" s="32">
        <v>32</v>
      </c>
      <c r="L55" s="33">
        <v>10</v>
      </c>
      <c r="M55" s="33">
        <v>0</v>
      </c>
      <c r="N55" s="34">
        <f>IFERROR(K55-L55-M55," ")</f>
        <v>22</v>
      </c>
      <c r="O55" s="30" t="str">
        <f>"HW-Cereal - Honey Toasted Os "</f>
        <v xml:space="preserve">HW-Cereal - Honey Toasted Os </v>
      </c>
      <c r="P55" s="30" t="str">
        <f>"10 - 17.63 oz"</f>
        <v>10 - 17.63 oz</v>
      </c>
      <c r="Q55" s="30" t="str">
        <f>"CASE"</f>
        <v>CASE</v>
      </c>
      <c r="R55" s="30" t="str">
        <f>"DRY"</f>
        <v>DRY</v>
      </c>
      <c r="S55" s="30" t="str">
        <f>"BBPUR"</f>
        <v>BBPUR</v>
      </c>
      <c r="T55" s="30">
        <v>13</v>
      </c>
      <c r="U55" s="44">
        <v>11.654999999999999</v>
      </c>
      <c r="V55" s="36">
        <f>IFERROR($U55*$J55," ")</f>
        <v>0</v>
      </c>
    </row>
    <row r="56" spans="1:22" ht="27.75" customHeight="1" x14ac:dyDescent="0.3">
      <c r="A56" t="s">
        <v>45</v>
      </c>
      <c r="B56" t="str">
        <f t="shared" si="6"/>
        <v/>
      </c>
      <c r="F56" s="1" t="str">
        <f>F55</f>
        <v>05</v>
      </c>
      <c r="G56" s="3"/>
      <c r="H56" s="4" t="str">
        <f>"""Ceres 5 "",""SHNLFB - Duluth - LIVE"",""27"",""1"",""12851"""</f>
        <v>"Ceres 5 ","SHNLFB - Duluth - LIVE","27","1","12851"</v>
      </c>
      <c r="I56" s="30" t="str">
        <f>"12851"</f>
        <v>12851</v>
      </c>
      <c r="J56" s="31"/>
      <c r="K56" s="32">
        <v>46</v>
      </c>
      <c r="L56" s="33">
        <v>31</v>
      </c>
      <c r="M56" s="33">
        <v>0</v>
      </c>
      <c r="N56" s="34">
        <f>IFERROR(K56-L56-M56," ")</f>
        <v>15</v>
      </c>
      <c r="O56" s="30" t="str">
        <f>"HW-Meal - Pancake Mix"</f>
        <v>HW-Meal - Pancake Mix</v>
      </c>
      <c r="P56" s="30" t="str">
        <f>"18 - 16.5 oz"</f>
        <v>18 - 16.5 oz</v>
      </c>
      <c r="Q56" s="30" t="str">
        <f>"CASE"</f>
        <v>CASE</v>
      </c>
      <c r="R56" s="30" t="str">
        <f>"DRY"</f>
        <v>DRY</v>
      </c>
      <c r="S56" s="30" t="str">
        <f>"BBPUR"</f>
        <v>BBPUR</v>
      </c>
      <c r="T56" s="30">
        <v>20</v>
      </c>
      <c r="U56" s="44">
        <v>12.4635</v>
      </c>
      <c r="V56" s="36">
        <f>IFERROR($U56*$J56," ")</f>
        <v>0</v>
      </c>
    </row>
    <row r="57" spans="1:22" ht="27.75" customHeight="1" x14ac:dyDescent="0.3">
      <c r="A57" t="s">
        <v>45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27.75" customHeight="1" x14ac:dyDescent="0.3">
      <c r="A58" t="s">
        <v>45</v>
      </c>
      <c r="F58" s="1" t="str">
        <f>G58</f>
        <v>06</v>
      </c>
      <c r="G58" s="3" t="str">
        <f>"06"</f>
        <v>06</v>
      </c>
      <c r="H58" s="4"/>
      <c r="I58" s="30"/>
      <c r="J58" s="21" t="str">
        <f>"Complete Meal/Entree, Soup"</f>
        <v>Complete Meal/Entree, Soup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7.75" customHeight="1" x14ac:dyDescent="0.3">
      <c r="A59" t="s">
        <v>45</v>
      </c>
      <c r="B59" t="str">
        <f t="shared" ref="B59" si="7">IF(N59=0,"hide","")</f>
        <v/>
      </c>
      <c r="F59" s="1" t="str">
        <f>F58</f>
        <v>06</v>
      </c>
      <c r="G59" s="3"/>
      <c r="H59" s="4" t="str">
        <f>"""Ceres 5 "",""SHNLFB - Duluth - LIVE"",""27"",""1"",""10156"""</f>
        <v>"Ceres 5 ","SHNLFB - Duluth - LIVE","27","1","10156"</v>
      </c>
      <c r="I59" s="30" t="str">
        <f>"10156"</f>
        <v>10156</v>
      </c>
      <c r="J59" s="31"/>
      <c r="K59" s="32">
        <v>101</v>
      </c>
      <c r="L59" s="33">
        <v>36</v>
      </c>
      <c r="M59" s="33">
        <v>0</v>
      </c>
      <c r="N59" s="34">
        <f>IFERROR(K59-L59-M59," ")</f>
        <v>65</v>
      </c>
      <c r="O59" s="30" t="str">
        <f>"HW-Meal - Beef Stew"</f>
        <v>HW-Meal - Beef Stew</v>
      </c>
      <c r="P59" s="30" t="str">
        <f>"12-15 oz"</f>
        <v>12-15 oz</v>
      </c>
      <c r="Q59" s="30" t="str">
        <f>"CASE"</f>
        <v>CASE</v>
      </c>
      <c r="R59" s="30" t="str">
        <f>"DRY"</f>
        <v>DRY</v>
      </c>
      <c r="S59" s="30" t="str">
        <f>"BBPUR"</f>
        <v>BBPUR</v>
      </c>
      <c r="T59" s="30">
        <v>13</v>
      </c>
      <c r="U59" s="44">
        <v>12.452999999999999</v>
      </c>
      <c r="V59" s="36">
        <f>IFERROR($U59*$J59," ")</f>
        <v>0</v>
      </c>
    </row>
    <row r="60" spans="1:22" ht="27.75" customHeight="1" x14ac:dyDescent="0.3">
      <c r="A60" t="s">
        <v>45</v>
      </c>
      <c r="B60" t="str">
        <f t="shared" ref="B60:B76" si="8">IF(N60=0,"hide","")</f>
        <v/>
      </c>
      <c r="F60" s="1" t="str">
        <f>F59</f>
        <v>06</v>
      </c>
      <c r="G60" s="3"/>
      <c r="H60" s="4" t="str">
        <f>"""Ceres 5 "",""SHNLFB - Duluth - LIVE"",""27"",""1"",""12903"""</f>
        <v>"Ceres 5 ","SHNLFB - Duluth - LIVE","27","1","12903"</v>
      </c>
      <c r="I60" s="30" t="str">
        <f>"12903"</f>
        <v>12903</v>
      </c>
      <c r="J60" s="31"/>
      <c r="K60" s="32">
        <v>53</v>
      </c>
      <c r="L60" s="33">
        <v>25</v>
      </c>
      <c r="M60" s="33">
        <v>0</v>
      </c>
      <c r="N60" s="34">
        <f>IFERROR(K60-L60-M60," ")</f>
        <v>28</v>
      </c>
      <c r="O60" s="30" t="str">
        <f>"HW-Meal - Dinner Mix,Beef"</f>
        <v>HW-Meal - Dinner Mix,Beef</v>
      </c>
      <c r="P60" s="30" t="str">
        <f>"24 - 5.6 oz"</f>
        <v>24 - 5.6 oz</v>
      </c>
      <c r="Q60" s="30" t="str">
        <f>"CASE"</f>
        <v>CASE</v>
      </c>
      <c r="R60" s="30" t="str">
        <f>"DRY"</f>
        <v>DRY</v>
      </c>
      <c r="S60" s="30" t="str">
        <f>"BBPUR"</f>
        <v>BBPUR</v>
      </c>
      <c r="T60" s="30">
        <v>9</v>
      </c>
      <c r="U60" s="44">
        <v>10.08</v>
      </c>
      <c r="V60" s="36">
        <f>IFERROR($U60*$J60," ")</f>
        <v>0</v>
      </c>
    </row>
    <row r="61" spans="1:22" ht="27.75" customHeight="1" x14ac:dyDescent="0.3">
      <c r="A61" t="s">
        <v>45</v>
      </c>
      <c r="B61" t="str">
        <f t="shared" si="8"/>
        <v/>
      </c>
      <c r="F61" s="1" t="str">
        <f>F60</f>
        <v>06</v>
      </c>
      <c r="G61" s="3"/>
      <c r="H61" s="4" t="str">
        <f>"""Ceres 5 "",""SHNLFB - Duluth - LIVE"",""27"",""1"",""10160"""</f>
        <v>"Ceres 5 ","SHNLFB - Duluth - LIVE","27","1","10160"</v>
      </c>
      <c r="I61" s="30" t="str">
        <f>"10160"</f>
        <v>10160</v>
      </c>
      <c r="J61" s="31"/>
      <c r="K61" s="32">
        <v>12</v>
      </c>
      <c r="L61" s="33">
        <v>5</v>
      </c>
      <c r="M61" s="33">
        <v>0</v>
      </c>
      <c r="N61" s="34">
        <f>IFERROR(K61-L61-M61," ")</f>
        <v>7</v>
      </c>
      <c r="O61" s="30" t="str">
        <f>"HW-Meal - Macaroni And Cheese"</f>
        <v>HW-Meal - Macaroni And Cheese</v>
      </c>
      <c r="P61" s="30" t="str">
        <f>"24 - 7.25 oz"</f>
        <v>24 - 7.25 oz</v>
      </c>
      <c r="Q61" s="30" t="str">
        <f>"CASE"</f>
        <v>CASE</v>
      </c>
      <c r="R61" s="30" t="str">
        <f>"DRY"</f>
        <v>DRY</v>
      </c>
      <c r="S61" s="30" t="str">
        <f>"BBPUR"</f>
        <v>BBPUR</v>
      </c>
      <c r="T61" s="30">
        <v>14</v>
      </c>
      <c r="U61" s="44">
        <v>6.7934999999999999</v>
      </c>
      <c r="V61" s="36">
        <f>IFERROR($U61*$J61," ")</f>
        <v>0</v>
      </c>
    </row>
    <row r="62" spans="1:22" ht="27.75" customHeight="1" x14ac:dyDescent="0.3">
      <c r="A62" t="s">
        <v>45</v>
      </c>
      <c r="B62" t="str">
        <f t="shared" si="8"/>
        <v/>
      </c>
      <c r="F62" s="1" t="str">
        <f>F61</f>
        <v>06</v>
      </c>
      <c r="G62" s="3"/>
      <c r="H62" s="4" t="str">
        <f>"""Ceres 5 "",""SHNLFB - Duluth - LIVE"",""27"",""1"",""13636"""</f>
        <v>"Ceres 5 ","SHNLFB - Duluth - LIVE","27","1","13636"</v>
      </c>
      <c r="I62" s="30" t="str">
        <f>"13636"</f>
        <v>13636</v>
      </c>
      <c r="J62" s="31"/>
      <c r="K62" s="32">
        <v>628</v>
      </c>
      <c r="L62" s="33">
        <v>43</v>
      </c>
      <c r="M62" s="33">
        <v>0</v>
      </c>
      <c r="N62" s="34">
        <f>IFERROR(K62-L62-M62," ")</f>
        <v>585</v>
      </c>
      <c r="O62" s="30" t="str">
        <f>"HW-Soup - Chicken Noodle (Healthy Harvest)"</f>
        <v>HW-Soup - Chicken Noodle (Healthy Harvest)</v>
      </c>
      <c r="P62" s="30" t="str">
        <f>"12 - 10.75 oz"</f>
        <v>12 - 10.75 oz</v>
      </c>
      <c r="Q62" s="30" t="str">
        <f>"CAN"</f>
        <v>CAN</v>
      </c>
      <c r="R62" s="30" t="str">
        <f>"DRY"</f>
        <v>DRY</v>
      </c>
      <c r="S62" s="30" t="str">
        <f>"BBPUR"</f>
        <v>BBPUR</v>
      </c>
      <c r="T62" s="30">
        <v>9</v>
      </c>
      <c r="U62" s="44">
        <v>8.2844999999999995</v>
      </c>
      <c r="V62" s="36">
        <f>IFERROR($U62*$J62," ")</f>
        <v>0</v>
      </c>
    </row>
    <row r="63" spans="1:22" ht="27.75" customHeight="1" x14ac:dyDescent="0.3">
      <c r="A63" t="s">
        <v>45</v>
      </c>
      <c r="B63" t="str">
        <f t="shared" si="8"/>
        <v/>
      </c>
      <c r="F63" s="1" t="str">
        <f>F62</f>
        <v>06</v>
      </c>
      <c r="G63" s="3"/>
      <c r="H63" s="4" t="str">
        <f>"""Ceres 5 "",""SHNLFB - Duluth - LIVE"",""27"",""1"",""12511"""</f>
        <v>"Ceres 5 ","SHNLFB - Duluth - LIVE","27","1","12511"</v>
      </c>
      <c r="I63" s="30" t="str">
        <f>"12511"</f>
        <v>12511</v>
      </c>
      <c r="J63" s="31"/>
      <c r="K63" s="32">
        <v>781</v>
      </c>
      <c r="L63" s="33">
        <v>16</v>
      </c>
      <c r="M63" s="33">
        <v>0</v>
      </c>
      <c r="N63" s="34">
        <f>IFERROR(K63-L63-M63," ")</f>
        <v>765</v>
      </c>
      <c r="O63" s="30" t="str">
        <f>"HW-Soup - Chicken W/Rice"</f>
        <v>HW-Soup - Chicken W/Rice</v>
      </c>
      <c r="P63" s="30" t="str">
        <f>"12 - 10.5 oz"</f>
        <v>12 - 10.5 oz</v>
      </c>
      <c r="Q63" s="30" t="str">
        <f>"CASE"</f>
        <v>CASE</v>
      </c>
      <c r="R63" s="30" t="str">
        <f>"DRY"</f>
        <v>DRY</v>
      </c>
      <c r="S63" s="30" t="str">
        <f>"BBPUR"</f>
        <v>BBPUR</v>
      </c>
      <c r="T63" s="30">
        <v>9</v>
      </c>
      <c r="U63" s="44">
        <v>11.1615</v>
      </c>
      <c r="V63" s="36">
        <f>IFERROR($U63*$J63," ")</f>
        <v>0</v>
      </c>
    </row>
    <row r="64" spans="1:22" ht="27.75" customHeight="1" x14ac:dyDescent="0.3">
      <c r="A64" t="s">
        <v>45</v>
      </c>
      <c r="B64" t="str">
        <f t="shared" si="8"/>
        <v/>
      </c>
      <c r="F64" s="1" t="str">
        <f>F63</f>
        <v>06</v>
      </c>
      <c r="G64" s="3"/>
      <c r="H64" s="4" t="str">
        <f>"""Ceres 5 "",""SHNLFB - Duluth - LIVE"",""27"",""1"",""13633"""</f>
        <v>"Ceres 5 ","SHNLFB - Duluth - LIVE","27","1","13633"</v>
      </c>
      <c r="I64" s="30" t="str">
        <f>"13633"</f>
        <v>13633</v>
      </c>
      <c r="J64" s="31"/>
      <c r="K64" s="32">
        <v>36</v>
      </c>
      <c r="L64" s="33">
        <v>13</v>
      </c>
      <c r="M64" s="33">
        <v>0</v>
      </c>
      <c r="N64" s="34">
        <f>IFERROR(K64-L64-M64," ")</f>
        <v>23</v>
      </c>
      <c r="O64" s="30" t="str">
        <f>"HW-Soup - Cream of Chicken"</f>
        <v>HW-Soup - Cream of Chicken</v>
      </c>
      <c r="P64" s="30" t="str">
        <f>"48 - 10.5 oz"</f>
        <v>48 - 10.5 oz</v>
      </c>
      <c r="Q64" s="30" t="str">
        <f>"CAN"</f>
        <v>CAN</v>
      </c>
      <c r="R64" s="30" t="str">
        <f>"DRY"</f>
        <v>DRY</v>
      </c>
      <c r="S64" s="30" t="str">
        <f>"BBPUR"</f>
        <v>BBPUR</v>
      </c>
      <c r="T64" s="30">
        <v>36</v>
      </c>
      <c r="U64" s="44">
        <v>31.888500000000001</v>
      </c>
      <c r="V64" s="36">
        <f>IFERROR($U64*$J64," ")</f>
        <v>0</v>
      </c>
    </row>
    <row r="65" spans="1:22" ht="27.75" customHeight="1" x14ac:dyDescent="0.3">
      <c r="A65" t="s">
        <v>45</v>
      </c>
      <c r="B65" t="str">
        <f t="shared" si="8"/>
        <v/>
      </c>
      <c r="F65" s="1" t="str">
        <f>F64</f>
        <v>06</v>
      </c>
      <c r="G65" s="3"/>
      <c r="H65" s="4" t="str">
        <f>"""Ceres 5 "",""SHNLFB - Duluth - LIVE"",""27"",""1"",""11609"""</f>
        <v>"Ceres 5 ","SHNLFB - Duluth - LIVE","27","1","11609"</v>
      </c>
      <c r="I65" s="30" t="str">
        <f>"11609"</f>
        <v>11609</v>
      </c>
      <c r="J65" s="31"/>
      <c r="K65" s="32">
        <v>52</v>
      </c>
      <c r="L65" s="33">
        <v>10</v>
      </c>
      <c r="M65" s="33">
        <v>0</v>
      </c>
      <c r="N65" s="34">
        <f>IFERROR(K65-L65-M65," ")</f>
        <v>42</v>
      </c>
      <c r="O65" s="30" t="str">
        <f>"HW-Soup - Cream of Mushroom"</f>
        <v>HW-Soup - Cream of Mushroom</v>
      </c>
      <c r="P65" s="30" t="str">
        <f>"24 - 10.5 oz."</f>
        <v>24 - 10.5 oz.</v>
      </c>
      <c r="Q65" s="30" t="str">
        <f>"CASE"</f>
        <v>CASE</v>
      </c>
      <c r="R65" s="30" t="str">
        <f>"DRY"</f>
        <v>DRY</v>
      </c>
      <c r="S65" s="30" t="str">
        <f>"BBPUR"</f>
        <v>BBPUR</v>
      </c>
      <c r="T65" s="30">
        <v>18</v>
      </c>
      <c r="U65" s="44">
        <v>14.679</v>
      </c>
      <c r="V65" s="36">
        <f>IFERROR($U65*$J65," ")</f>
        <v>0</v>
      </c>
    </row>
    <row r="66" spans="1:22" ht="27.75" customHeight="1" x14ac:dyDescent="0.3">
      <c r="A66" t="s">
        <v>45</v>
      </c>
      <c r="B66" t="str">
        <f t="shared" si="8"/>
        <v/>
      </c>
      <c r="F66" s="1" t="str">
        <f>F65</f>
        <v>06</v>
      </c>
      <c r="G66" s="3"/>
      <c r="H66" s="4" t="str">
        <f>"""Ceres 5 "",""SHNLFB - Duluth - LIVE"",""27"",""1"",""13006"""</f>
        <v>"Ceres 5 ","SHNLFB - Duluth - LIVE","27","1","13006"</v>
      </c>
      <c r="I66" s="30" t="str">
        <f>"13006"</f>
        <v>13006</v>
      </c>
      <c r="J66" s="31"/>
      <c r="K66" s="32">
        <v>211</v>
      </c>
      <c r="L66" s="33">
        <v>38</v>
      </c>
      <c r="M66" s="33">
        <v>0</v>
      </c>
      <c r="N66" s="34">
        <f>IFERROR(K66-L66-M66," ")</f>
        <v>173</v>
      </c>
      <c r="O66" s="30" t="str">
        <f>"HW-Soup - Tomato"</f>
        <v>HW-Soup - Tomato</v>
      </c>
      <c r="P66" s="30" t="str">
        <f>"12 - 10.75 oz"</f>
        <v>12 - 10.75 oz</v>
      </c>
      <c r="Q66" s="30" t="str">
        <f>"CASE"</f>
        <v>CASE</v>
      </c>
      <c r="R66" s="30" t="str">
        <f>"DRY"</f>
        <v>DRY</v>
      </c>
      <c r="S66" s="30" t="str">
        <f>"BBPUR"</f>
        <v>BBPUR</v>
      </c>
      <c r="T66" s="30">
        <v>9</v>
      </c>
      <c r="U66" s="44">
        <v>7.0350000000000001</v>
      </c>
      <c r="V66" s="36">
        <f>IFERROR($U66*$J66," ")</f>
        <v>0</v>
      </c>
    </row>
    <row r="67" spans="1:22" ht="27.75" customHeight="1" x14ac:dyDescent="0.3">
      <c r="A67" t="s">
        <v>45</v>
      </c>
      <c r="B67" t="str">
        <f t="shared" si="8"/>
        <v/>
      </c>
      <c r="F67" s="1" t="str">
        <f>F66</f>
        <v>06</v>
      </c>
      <c r="G67" s="3"/>
      <c r="H67" s="4" t="str">
        <f>"""Ceres 5 "",""SHNLFB - Duluth - LIVE"",""27"",""1"",""12510"""</f>
        <v>"Ceres 5 ","SHNLFB - Duluth - LIVE","27","1","12510"</v>
      </c>
      <c r="I67" s="30" t="str">
        <f>"12510"</f>
        <v>12510</v>
      </c>
      <c r="J67" s="31"/>
      <c r="K67" s="32">
        <v>359</v>
      </c>
      <c r="L67" s="33">
        <v>15</v>
      </c>
      <c r="M67" s="33">
        <v>0</v>
      </c>
      <c r="N67" s="34">
        <f>IFERROR(K67-L67-M67," ")</f>
        <v>344</v>
      </c>
      <c r="O67" s="30" t="str">
        <f>"HW-Soup - Vegetable, Campbell's Healthy Harvest"</f>
        <v>HW-Soup - Vegetable, Campbell's Healthy Harvest</v>
      </c>
      <c r="P67" s="30" t="str">
        <f>"12 - 10.5 oz"</f>
        <v>12 - 10.5 oz</v>
      </c>
      <c r="Q67" s="30" t="str">
        <f>"CASE"</f>
        <v>CASE</v>
      </c>
      <c r="R67" s="30" t="str">
        <f>"DRY"</f>
        <v>DRY</v>
      </c>
      <c r="S67" s="30" t="str">
        <f>"BBPUR"</f>
        <v>BBPUR</v>
      </c>
      <c r="T67" s="30">
        <v>9</v>
      </c>
      <c r="U67" s="44">
        <v>14.059200000000001</v>
      </c>
      <c r="V67" s="36">
        <f>IFERROR($U67*$J67," ")</f>
        <v>0</v>
      </c>
    </row>
    <row r="68" spans="1:22" ht="27.75" customHeight="1" x14ac:dyDescent="0.3">
      <c r="A68" t="s">
        <v>45</v>
      </c>
      <c r="B68" t="str">
        <f t="shared" si="8"/>
        <v/>
      </c>
      <c r="F68" s="1" t="str">
        <f>F67</f>
        <v>06</v>
      </c>
      <c r="G68" s="3"/>
      <c r="H68" s="4" t="str">
        <f>"""Ceres 5 "",""SHNLFB - Duluth - LIVE"",""27"",""1"",""11715"""</f>
        <v>"Ceres 5 ","SHNLFB - Duluth - LIVE","27","1","11715"</v>
      </c>
      <c r="I68" s="30" t="str">
        <f>"11715"</f>
        <v>11715</v>
      </c>
      <c r="J68" s="31"/>
      <c r="K68" s="32">
        <v>195</v>
      </c>
      <c r="L68" s="33">
        <v>12</v>
      </c>
      <c r="M68" s="33">
        <v>0</v>
      </c>
      <c r="N68" s="34">
        <f>IFERROR(K68-L68-M68," ")</f>
        <v>183</v>
      </c>
      <c r="O68" s="30" t="str">
        <f>"Meal - Beef Bulgogi"</f>
        <v>Meal - Beef Bulgogi</v>
      </c>
      <c r="P68" s="30" t="str">
        <f>"8 - 9 oz"</f>
        <v>8 - 9 oz</v>
      </c>
      <c r="Q68" s="30" t="str">
        <f>"CASE"</f>
        <v>CASE</v>
      </c>
      <c r="R68" s="30" t="str">
        <f>"FROZEN"</f>
        <v>FROZEN</v>
      </c>
      <c r="S68" s="30" t="str">
        <f>"DON"</f>
        <v>DON</v>
      </c>
      <c r="T68" s="30">
        <v>6</v>
      </c>
      <c r="U68" s="44">
        <v>1.1399999999999999</v>
      </c>
      <c r="V68" s="36">
        <f>IFERROR($U68*$J68," ")</f>
        <v>0</v>
      </c>
    </row>
    <row r="69" spans="1:22" ht="27.75" customHeight="1" x14ac:dyDescent="0.3">
      <c r="A69" t="s">
        <v>45</v>
      </c>
      <c r="B69" t="str">
        <f t="shared" si="8"/>
        <v/>
      </c>
      <c r="F69" s="1" t="str">
        <f>F68</f>
        <v>06</v>
      </c>
      <c r="G69" s="3"/>
      <c r="H69" s="4" t="str">
        <f>"""Ceres 5 "",""SHNLFB - Duluth - LIVE"",""27"",""1"",""10746"""</f>
        <v>"Ceres 5 ","SHNLFB - Duluth - LIVE","27","1","10746"</v>
      </c>
      <c r="I69" s="30" t="str">
        <f>"10746"</f>
        <v>10746</v>
      </c>
      <c r="J69" s="31"/>
      <c r="K69" s="32">
        <v>35</v>
      </c>
      <c r="L69" s="33">
        <v>6</v>
      </c>
      <c r="M69" s="33">
        <v>0</v>
      </c>
      <c r="N69" s="34">
        <f>IFERROR(K69-L69-M69," ")</f>
        <v>29</v>
      </c>
      <c r="O69" s="30" t="str">
        <f>"Meal - Chicken in Teriyaki Sauce"</f>
        <v>Meal - Chicken in Teriyaki Sauce</v>
      </c>
      <c r="P69" s="30" t="str">
        <f>"18 - 14 oz"</f>
        <v>18 - 14 oz</v>
      </c>
      <c r="Q69" s="30" t="str">
        <f>"CASE"</f>
        <v>CASE</v>
      </c>
      <c r="R69" s="30" t="str">
        <f>"FROZEN"</f>
        <v>FROZEN</v>
      </c>
      <c r="S69" s="30" t="str">
        <f>"DON"</f>
        <v>DON</v>
      </c>
      <c r="T69" s="30">
        <v>21</v>
      </c>
      <c r="U69" s="44">
        <v>3.99</v>
      </c>
      <c r="V69" s="36">
        <f>IFERROR($U69*$J69," ")</f>
        <v>0</v>
      </c>
    </row>
    <row r="70" spans="1:22" ht="27.75" customHeight="1" x14ac:dyDescent="0.3">
      <c r="A70" t="s">
        <v>45</v>
      </c>
      <c r="B70" t="str">
        <f t="shared" si="8"/>
        <v/>
      </c>
      <c r="F70" s="1" t="str">
        <f>F69</f>
        <v>06</v>
      </c>
      <c r="G70" s="3"/>
      <c r="H70" s="4" t="str">
        <f>"""Ceres 5 "",""SHNLFB - Duluth - LIVE"",""27"",""1"",""12885"""</f>
        <v>"Ceres 5 ","SHNLFB - Duluth - LIVE","27","1","12885"</v>
      </c>
      <c r="I70" s="30" t="str">
        <f>"12885"</f>
        <v>12885</v>
      </c>
      <c r="J70" s="31"/>
      <c r="K70" s="32">
        <v>130</v>
      </c>
      <c r="L70" s="33">
        <v>6</v>
      </c>
      <c r="M70" s="33">
        <v>0</v>
      </c>
      <c r="N70" s="34">
        <f>IFERROR(K70-L70-M70," ")</f>
        <v>124</v>
      </c>
      <c r="O70" s="30" t="str">
        <f>"Meal - Dumpling Wrappers"</f>
        <v>Meal - Dumpling Wrappers</v>
      </c>
      <c r="P70" s="30" t="str">
        <f>"16 - 14 oz"</f>
        <v>16 - 14 oz</v>
      </c>
      <c r="Q70" s="30" t="str">
        <f>"CASE"</f>
        <v>CASE</v>
      </c>
      <c r="R70" s="30" t="str">
        <f>"DRY"</f>
        <v>DRY</v>
      </c>
      <c r="S70" s="30" t="str">
        <f>"DON"</f>
        <v>DON</v>
      </c>
      <c r="T70" s="30">
        <v>14</v>
      </c>
      <c r="U70" s="44">
        <v>2.66</v>
      </c>
      <c r="V70" s="36">
        <f>IFERROR($U70*$J70," ")</f>
        <v>0</v>
      </c>
    </row>
    <row r="71" spans="1:22" ht="27.75" customHeight="1" x14ac:dyDescent="0.3">
      <c r="A71" t="s">
        <v>45</v>
      </c>
      <c r="B71" t="str">
        <f t="shared" si="8"/>
        <v/>
      </c>
      <c r="F71" s="1" t="str">
        <f>F70</f>
        <v>06</v>
      </c>
      <c r="G71" s="3"/>
      <c r="H71" s="4" t="str">
        <f>"""Ceres 5 "",""SHNLFB - Duluth - LIVE"",""27"",""1"",""12049"""</f>
        <v>"Ceres 5 ","SHNLFB - Duluth - LIVE","27","1","12049"</v>
      </c>
      <c r="I71" s="30" t="str">
        <f>"12049"</f>
        <v>12049</v>
      </c>
      <c r="J71" s="31"/>
      <c r="K71" s="32">
        <v>87</v>
      </c>
      <c r="L71" s="33">
        <v>0</v>
      </c>
      <c r="M71" s="33">
        <v>0</v>
      </c>
      <c r="N71" s="34">
        <f>IFERROR(K71-L71-M71," ")</f>
        <v>87</v>
      </c>
      <c r="O71" s="30" t="str">
        <f>"Meal - Mac and Cheese"</f>
        <v>Meal - Mac and Cheese</v>
      </c>
      <c r="P71" s="30" t="str">
        <f>"66 - 4 oz"</f>
        <v>66 - 4 oz</v>
      </c>
      <c r="Q71" s="30" t="str">
        <f>"CASE"</f>
        <v>CASE</v>
      </c>
      <c r="R71" s="30" t="str">
        <f>"FROZEN"</f>
        <v>FROZEN</v>
      </c>
      <c r="S71" s="30" t="str">
        <f>"DON"</f>
        <v>DON</v>
      </c>
      <c r="T71" s="30">
        <v>17</v>
      </c>
      <c r="U71" s="44">
        <v>3.23</v>
      </c>
      <c r="V71" s="36">
        <f>IFERROR($U71*$J71," ")</f>
        <v>0</v>
      </c>
    </row>
    <row r="72" spans="1:22" ht="27.75" customHeight="1" x14ac:dyDescent="0.3">
      <c r="A72" t="s">
        <v>45</v>
      </c>
      <c r="B72" t="str">
        <f t="shared" si="8"/>
        <v/>
      </c>
      <c r="F72" s="1" t="str">
        <f>F71</f>
        <v>06</v>
      </c>
      <c r="G72" s="3"/>
      <c r="H72" s="4" t="str">
        <f>"""Ceres 5 "",""SHNLFB - Duluth - LIVE"",""27"",""1"",""13625"""</f>
        <v>"Ceres 5 ","SHNLFB - Duluth - LIVE","27","1","13625"</v>
      </c>
      <c r="I72" s="30" t="str">
        <f>"13625"</f>
        <v>13625</v>
      </c>
      <c r="J72" s="31"/>
      <c r="K72" s="32">
        <v>35</v>
      </c>
      <c r="L72" s="33">
        <v>20</v>
      </c>
      <c r="M72" s="33">
        <v>0</v>
      </c>
      <c r="N72" s="34">
        <f>IFERROR(K72-L72-M72," ")</f>
        <v>15</v>
      </c>
      <c r="O72" s="30" t="str">
        <f>"Meal - Mac and Cheese"</f>
        <v>Meal - Mac and Cheese</v>
      </c>
      <c r="P72" s="30" t="str">
        <f>"6 - 25 oz"</f>
        <v>6 - 25 oz</v>
      </c>
      <c r="Q72" s="30" t="str">
        <f>"CASE"</f>
        <v>CASE</v>
      </c>
      <c r="R72" s="30" t="str">
        <f>"FROZEN"</f>
        <v>FROZEN</v>
      </c>
      <c r="S72" s="30" t="str">
        <f>"DON"</f>
        <v>DON</v>
      </c>
      <c r="T72" s="30">
        <v>10</v>
      </c>
      <c r="U72" s="44">
        <v>1.9</v>
      </c>
      <c r="V72" s="36">
        <f>IFERROR($U72*$J72," ")</f>
        <v>0</v>
      </c>
    </row>
    <row r="73" spans="1:22" ht="27.75" customHeight="1" x14ac:dyDescent="0.3">
      <c r="A73" t="s">
        <v>45</v>
      </c>
      <c r="B73" t="str">
        <f t="shared" si="8"/>
        <v/>
      </c>
      <c r="F73" s="1" t="str">
        <f>F72</f>
        <v>06</v>
      </c>
      <c r="G73" s="3"/>
      <c r="H73" s="4" t="str">
        <f>"""Ceres 5 "",""SHNLFB - Duluth - LIVE"",""27"",""1"",""13626"""</f>
        <v>"Ceres 5 ","SHNLFB - Duluth - LIVE","27","1","13626"</v>
      </c>
      <c r="I73" s="30" t="str">
        <f>"13626"</f>
        <v>13626</v>
      </c>
      <c r="J73" s="31"/>
      <c r="K73" s="32">
        <v>45</v>
      </c>
      <c r="L73" s="33">
        <v>25</v>
      </c>
      <c r="M73" s="33">
        <v>0</v>
      </c>
      <c r="N73" s="34">
        <f>IFERROR(K73-L73-M73," ")</f>
        <v>20</v>
      </c>
      <c r="O73" s="30" t="str">
        <f>"Meal - Microwavable"</f>
        <v>Meal - Microwavable</v>
      </c>
      <c r="P73" s="30" t="str">
        <f>"12 - 10 oz"</f>
        <v>12 - 10 oz</v>
      </c>
      <c r="Q73" s="30" t="str">
        <f>"CASE"</f>
        <v>CASE</v>
      </c>
      <c r="R73" s="30" t="str">
        <f>"FROZEN"</f>
        <v>FROZEN</v>
      </c>
      <c r="S73" s="30" t="str">
        <f>"DON"</f>
        <v>DON</v>
      </c>
      <c r="T73" s="30">
        <v>10</v>
      </c>
      <c r="U73" s="44">
        <v>1.9</v>
      </c>
      <c r="V73" s="36">
        <f>IFERROR($U73*$J73," ")</f>
        <v>0</v>
      </c>
    </row>
    <row r="74" spans="1:22" ht="27.75" customHeight="1" x14ac:dyDescent="0.3">
      <c r="A74" t="s">
        <v>45</v>
      </c>
      <c r="B74" t="str">
        <f t="shared" si="8"/>
        <v/>
      </c>
      <c r="F74" s="1" t="str">
        <f>F73</f>
        <v>06</v>
      </c>
      <c r="G74" s="3"/>
      <c r="H74" s="4" t="str">
        <f>"""Ceres 5 "",""SHNLFB - Duluth - LIVE"",""27"",""1"",""12095"""</f>
        <v>"Ceres 5 ","SHNLFB - Duluth - LIVE","27","1","12095"</v>
      </c>
      <c r="I74" s="30" t="str">
        <f>"12095"</f>
        <v>12095</v>
      </c>
      <c r="J74" s="31"/>
      <c r="K74" s="32">
        <v>34</v>
      </c>
      <c r="L74" s="33">
        <v>12</v>
      </c>
      <c r="M74" s="33">
        <v>0</v>
      </c>
      <c r="N74" s="34">
        <f>IFERROR(K74-L74-M74," ")</f>
        <v>22</v>
      </c>
      <c r="O74" s="30" t="str">
        <f>"Meal - Pizza, BBQ Chicken"</f>
        <v>Meal - Pizza, BBQ Chicken</v>
      </c>
      <c r="P74" s="30" t="str">
        <f>"10/2 - 14.7 oz"</f>
        <v>10/2 - 14.7 oz</v>
      </c>
      <c r="Q74" s="30" t="str">
        <f>"CASE"</f>
        <v>CASE</v>
      </c>
      <c r="R74" s="30" t="str">
        <f>"FROZEN"</f>
        <v>FROZEN</v>
      </c>
      <c r="S74" s="30" t="str">
        <f>"DON"</f>
        <v>DON</v>
      </c>
      <c r="T74" s="30">
        <v>20</v>
      </c>
      <c r="U74" s="44">
        <v>3.8</v>
      </c>
      <c r="V74" s="36">
        <f>IFERROR($U74*$J74," ")</f>
        <v>0</v>
      </c>
    </row>
    <row r="75" spans="1:22" ht="27.75" customHeight="1" x14ac:dyDescent="0.3">
      <c r="A75" t="s">
        <v>45</v>
      </c>
      <c r="B75" t="str">
        <f t="shared" si="8"/>
        <v/>
      </c>
      <c r="F75" s="1" t="str">
        <f>F74</f>
        <v>06</v>
      </c>
      <c r="G75" s="3"/>
      <c r="H75" s="4" t="str">
        <f>"""Ceres 5 "",""SHNLFB - Duluth - LIVE"",""27"",""1"",""12276"""</f>
        <v>"Ceres 5 ","SHNLFB - Duluth - LIVE","27","1","12276"</v>
      </c>
      <c r="I75" s="30" t="str">
        <f>"12276"</f>
        <v>12276</v>
      </c>
      <c r="J75" s="31"/>
      <c r="K75" s="32">
        <v>33</v>
      </c>
      <c r="L75" s="33">
        <v>23</v>
      </c>
      <c r="M75" s="33">
        <v>0</v>
      </c>
      <c r="N75" s="34">
        <f>IFERROR(K75-L75-M75," ")</f>
        <v>10</v>
      </c>
      <c r="O75" s="30" t="str">
        <f>"Meal - Pizza, Thin Crust"</f>
        <v>Meal - Pizza, Thin Crust</v>
      </c>
      <c r="P75" s="30" t="str">
        <f>"12 - 17.9 oz"</f>
        <v>12 - 17.9 oz</v>
      </c>
      <c r="Q75" s="30" t="str">
        <f>"CASE"</f>
        <v>CASE</v>
      </c>
      <c r="R75" s="30" t="str">
        <f>"FROZEN"</f>
        <v>FROZEN</v>
      </c>
      <c r="S75" s="30" t="str">
        <f>"DON"</f>
        <v>DON</v>
      </c>
      <c r="T75" s="30">
        <v>17</v>
      </c>
      <c r="U75" s="44">
        <v>3.06</v>
      </c>
      <c r="V75" s="36">
        <f>IFERROR($U75*$J75," ")</f>
        <v>0</v>
      </c>
    </row>
    <row r="76" spans="1:22" ht="27.75" customHeight="1" x14ac:dyDescent="0.3">
      <c r="A76" t="s">
        <v>45</v>
      </c>
      <c r="B76" t="str">
        <f t="shared" si="8"/>
        <v/>
      </c>
      <c r="F76" s="1" t="str">
        <f>F75</f>
        <v>06</v>
      </c>
      <c r="G76" s="3"/>
      <c r="H76" s="4" t="str">
        <f>"""Ceres 5 "",""SHNLFB - Duluth - LIVE"",""27"",""1"",""11578"""</f>
        <v>"Ceres 5 ","SHNLFB - Duluth - LIVE","27","1","11578"</v>
      </c>
      <c r="I76" s="30" t="str">
        <f>"11578"</f>
        <v>11578</v>
      </c>
      <c r="J76" s="31"/>
      <c r="K76" s="32">
        <v>280</v>
      </c>
      <c r="L76" s="33">
        <v>10</v>
      </c>
      <c r="M76" s="33">
        <v>0</v>
      </c>
      <c r="N76" s="34">
        <f>IFERROR(K76-L76-M76," ")</f>
        <v>270</v>
      </c>
      <c r="O76" s="30" t="str">
        <f>"Meal - Rice in Char Su Sauce"</f>
        <v>Meal - Rice in Char Su Sauce</v>
      </c>
      <c r="P76" s="30" t="str">
        <f>"6 - 2.75 oz cups"</f>
        <v>6 - 2.75 oz cups</v>
      </c>
      <c r="Q76" s="30" t="str">
        <f>"CASE"</f>
        <v>CASE</v>
      </c>
      <c r="R76" s="30" t="str">
        <f>"DRY"</f>
        <v>DRY</v>
      </c>
      <c r="S76" s="30" t="str">
        <f>"DON"</f>
        <v>DON</v>
      </c>
      <c r="T76" s="30">
        <v>3</v>
      </c>
      <c r="U76" s="44">
        <v>0.56999999999999995</v>
      </c>
      <c r="V76" s="36">
        <f>IFERROR($U76*$J76," ")</f>
        <v>0</v>
      </c>
    </row>
    <row r="77" spans="1:22" ht="27.75" customHeight="1" x14ac:dyDescent="0.3">
      <c r="A77" t="s">
        <v>45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ht="27.75" customHeight="1" x14ac:dyDescent="0.3">
      <c r="A78" t="s">
        <v>45</v>
      </c>
      <c r="F78" s="1" t="str">
        <f>G78</f>
        <v>07</v>
      </c>
      <c r="G78" s="3" t="str">
        <f>"07"</f>
        <v>07</v>
      </c>
      <c r="H78" s="4"/>
      <c r="I78" s="30"/>
      <c r="J78" s="21" t="str">
        <f>"Dairy: Yogurt, Cheese, Milk, Butter, Sour cream Ice Cream"</f>
        <v>Dairy: Yogurt, Cheese, Milk, Butter, Sour cream Ice Cream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7.75" customHeight="1" x14ac:dyDescent="0.3">
      <c r="A79" t="s">
        <v>45</v>
      </c>
      <c r="B79" t="str">
        <f t="shared" ref="B79" si="9">IF(N79=0,"hide","")</f>
        <v/>
      </c>
      <c r="F79" s="1" t="str">
        <f>F78</f>
        <v>07</v>
      </c>
      <c r="G79" s="3"/>
      <c r="H79" s="4" t="str">
        <f>"""Ceres 5 "",""SHNLFB - Duluth - LIVE"",""27"",""1"",""10009"""</f>
        <v>"Ceres 5 ","SHNLFB - Duluth - LIVE","27","1","10009"</v>
      </c>
      <c r="I79" s="30" t="str">
        <f>"10009"</f>
        <v>10009</v>
      </c>
      <c r="J79" s="31"/>
      <c r="K79" s="32">
        <v>4653</v>
      </c>
      <c r="L79" s="33">
        <v>1</v>
      </c>
      <c r="M79" s="33">
        <v>0</v>
      </c>
      <c r="N79" s="34">
        <f>IFERROR(K79-L79-M79," ")</f>
        <v>4652</v>
      </c>
      <c r="O79" s="30" t="str">
        <f>"Assorted Dairy Items"</f>
        <v>Assorted Dairy Items</v>
      </c>
      <c r="P79" s="30" t="str">
        <f>"1 Pallet"</f>
        <v>1 Pallet</v>
      </c>
      <c r="Q79" s="30" t="str">
        <f>"CONTAINER"</f>
        <v>CONTAINER</v>
      </c>
      <c r="R79" s="30" t="str">
        <f>"REF"</f>
        <v>REF</v>
      </c>
      <c r="S79" s="30" t="str">
        <f>"DON"</f>
        <v>DON</v>
      </c>
      <c r="T79" s="30">
        <v>1</v>
      </c>
      <c r="U79" s="44">
        <v>0</v>
      </c>
      <c r="V79" s="36">
        <f>IFERROR($U79*$J79," ")</f>
        <v>0</v>
      </c>
    </row>
    <row r="80" spans="1:22" ht="27.75" customHeight="1" x14ac:dyDescent="0.3">
      <c r="A80" t="s">
        <v>45</v>
      </c>
      <c r="B80" t="str">
        <f t="shared" ref="B80:B88" si="10">IF(N80=0,"hide","")</f>
        <v/>
      </c>
      <c r="F80" s="1" t="str">
        <f>F79</f>
        <v>07</v>
      </c>
      <c r="G80" s="3"/>
      <c r="H80" s="4" t="str">
        <f>"""Ceres 5 "",""SHNLFB - Duluth - LIVE"",""27"",""1"",""12733"""</f>
        <v>"Ceres 5 ","SHNLFB - Duluth - LIVE","27","1","12733"</v>
      </c>
      <c r="I80" s="30" t="str">
        <f>"12733"</f>
        <v>12733</v>
      </c>
      <c r="J80" s="31"/>
      <c r="K80" s="32">
        <v>267</v>
      </c>
      <c r="L80" s="33">
        <v>31</v>
      </c>
      <c r="M80" s="33">
        <v>0</v>
      </c>
      <c r="N80" s="34">
        <f>IFERROR(K80-L80-M80," ")</f>
        <v>236</v>
      </c>
      <c r="O80" s="30" t="str">
        <f>"Dairy - Cheese, Jalapeno"</f>
        <v>Dairy - Cheese, Jalapeno</v>
      </c>
      <c r="P80" s="30" t="str">
        <f>"14 - 8 oz"</f>
        <v>14 - 8 oz</v>
      </c>
      <c r="Q80" s="30" t="str">
        <f>"CASE"</f>
        <v>CASE</v>
      </c>
      <c r="R80" s="30" t="str">
        <f>"REF"</f>
        <v>REF</v>
      </c>
      <c r="S80" s="30" t="str">
        <f>"DON"</f>
        <v>DON</v>
      </c>
      <c r="T80" s="30">
        <v>8</v>
      </c>
      <c r="U80" s="44">
        <v>0</v>
      </c>
      <c r="V80" s="36">
        <f>IFERROR($U80*$J80," ")</f>
        <v>0</v>
      </c>
    </row>
    <row r="81" spans="1:22" ht="27.75" customHeight="1" x14ac:dyDescent="0.3">
      <c r="A81" t="s">
        <v>45</v>
      </c>
      <c r="B81" t="str">
        <f t="shared" si="10"/>
        <v/>
      </c>
      <c r="F81" s="1" t="str">
        <f>F80</f>
        <v>07</v>
      </c>
      <c r="G81" s="3"/>
      <c r="H81" s="4" t="str">
        <f>"""Ceres 5 "",""SHNLFB - Duluth - LIVE"",""27"",""1"",""10791"""</f>
        <v>"Ceres 5 ","SHNLFB - Duluth - LIVE","27","1","10791"</v>
      </c>
      <c r="I81" s="30" t="str">
        <f>"10791"</f>
        <v>10791</v>
      </c>
      <c r="J81" s="31"/>
      <c r="K81" s="32">
        <v>99</v>
      </c>
      <c r="L81" s="33">
        <v>24</v>
      </c>
      <c r="M81" s="33">
        <v>0</v>
      </c>
      <c r="N81" s="34">
        <f>IFERROR(K81-L81-M81," ")</f>
        <v>75</v>
      </c>
      <c r="O81" s="30" t="str">
        <f>"Dairy - Half and Half"</f>
        <v>Dairy - Half and Half</v>
      </c>
      <c r="P81" s="30" t="str">
        <f>"6/24 - .73 oz"</f>
        <v>6/24 - .73 oz</v>
      </c>
      <c r="Q81" s="30" t="str">
        <f>"CASE"</f>
        <v>CASE</v>
      </c>
      <c r="R81" s="30" t="str">
        <f>"DRY"</f>
        <v>DRY</v>
      </c>
      <c r="S81" s="30" t="str">
        <f>"DON"</f>
        <v>DON</v>
      </c>
      <c r="T81" s="30">
        <v>7</v>
      </c>
      <c r="U81" s="44">
        <v>0</v>
      </c>
      <c r="V81" s="36">
        <f>IFERROR($U81*$J81," ")</f>
        <v>0</v>
      </c>
    </row>
    <row r="82" spans="1:22" ht="27.75" customHeight="1" x14ac:dyDescent="0.3">
      <c r="A82" t="s">
        <v>45</v>
      </c>
      <c r="B82" t="str">
        <f t="shared" si="10"/>
        <v/>
      </c>
      <c r="F82" s="1" t="str">
        <f>F81</f>
        <v>07</v>
      </c>
      <c r="G82" s="3"/>
      <c r="H82" s="4" t="str">
        <f>"""Ceres 5 "",""SHNLFB - Duluth - LIVE"",""27"",""1"",""13594"""</f>
        <v>"Ceres 5 ","SHNLFB - Duluth - LIVE","27","1","13594"</v>
      </c>
      <c r="I82" s="30" t="str">
        <f>"13594"</f>
        <v>13594</v>
      </c>
      <c r="J82" s="31"/>
      <c r="K82" s="32">
        <v>97</v>
      </c>
      <c r="L82" s="33">
        <v>4</v>
      </c>
      <c r="M82" s="33">
        <v>0</v>
      </c>
      <c r="N82" s="34">
        <f>IFERROR(K82-L82-M82," ")</f>
        <v>93</v>
      </c>
      <c r="O82" s="30" t="str">
        <f>"Dairy - Milk Shelf Stable, Caramel"</f>
        <v>Dairy - Milk Shelf Stable, Caramel</v>
      </c>
      <c r="P82" s="30" t="str">
        <f>"12 - 12 oz"</f>
        <v>12 - 12 oz</v>
      </c>
      <c r="Q82" s="30" t="str">
        <f>"CAN"</f>
        <v>CAN</v>
      </c>
      <c r="R82" s="30" t="str">
        <f>"DRY"</f>
        <v>DRY</v>
      </c>
      <c r="S82" s="30" t="str">
        <f>"DON"</f>
        <v>DON</v>
      </c>
      <c r="T82" s="30">
        <v>7</v>
      </c>
      <c r="U82" s="44">
        <v>0</v>
      </c>
      <c r="V82" s="36">
        <f>IFERROR($U82*$J82," ")</f>
        <v>0</v>
      </c>
    </row>
    <row r="83" spans="1:22" ht="27.75" customHeight="1" x14ac:dyDescent="0.3">
      <c r="A83" t="s">
        <v>45</v>
      </c>
      <c r="B83" t="str">
        <f t="shared" si="10"/>
        <v/>
      </c>
      <c r="F83" s="1" t="str">
        <f>F82</f>
        <v>07</v>
      </c>
      <c r="G83" s="3"/>
      <c r="H83" s="4" t="str">
        <f>"""Ceres 5 "",""SHNLFB - Duluth - LIVE"",""27"",""1"",""13593"""</f>
        <v>"Ceres 5 ","SHNLFB - Duluth - LIVE","27","1","13593"</v>
      </c>
      <c r="I83" s="30" t="str">
        <f>"13593"</f>
        <v>13593</v>
      </c>
      <c r="J83" s="31"/>
      <c r="K83" s="32">
        <v>217</v>
      </c>
      <c r="L83" s="33">
        <v>6</v>
      </c>
      <c r="M83" s="33">
        <v>0</v>
      </c>
      <c r="N83" s="34">
        <f>IFERROR(K83-L83-M83," ")</f>
        <v>211</v>
      </c>
      <c r="O83" s="30" t="str">
        <f>"Dairy - Milk Shelf Stable, Mocha"</f>
        <v>Dairy - Milk Shelf Stable, Mocha</v>
      </c>
      <c r="P83" s="30" t="str">
        <f>"12 - 12 oz"</f>
        <v>12 - 12 oz</v>
      </c>
      <c r="Q83" s="30" t="str">
        <f>"CAN"</f>
        <v>CAN</v>
      </c>
      <c r="R83" s="30" t="str">
        <f>"DRY"</f>
        <v>DRY</v>
      </c>
      <c r="S83" s="30" t="str">
        <f>"DON"</f>
        <v>DON</v>
      </c>
      <c r="T83" s="30">
        <v>7</v>
      </c>
      <c r="U83" s="44">
        <v>0</v>
      </c>
      <c r="V83" s="36">
        <f>IFERROR($U83*$J83," ")</f>
        <v>0</v>
      </c>
    </row>
    <row r="84" spans="1:22" ht="27.75" customHeight="1" x14ac:dyDescent="0.3">
      <c r="A84" t="s">
        <v>45</v>
      </c>
      <c r="B84" t="str">
        <f t="shared" si="10"/>
        <v/>
      </c>
      <c r="F84" s="1" t="str">
        <f>F83</f>
        <v>07</v>
      </c>
      <c r="G84" s="3"/>
      <c r="H84" s="4" t="str">
        <f>"""Ceres 5 "",""SHNLFB - Duluth - LIVE"",""27"",""1"",""13275"""</f>
        <v>"Ceres 5 ","SHNLFB - Duluth - LIVE","27","1","13275"</v>
      </c>
      <c r="I84" s="30" t="str">
        <f>"13275"</f>
        <v>13275</v>
      </c>
      <c r="J84" s="31"/>
      <c r="K84" s="32">
        <v>64</v>
      </c>
      <c r="L84" s="33">
        <v>19</v>
      </c>
      <c r="M84" s="33">
        <v>0</v>
      </c>
      <c r="N84" s="34">
        <f>IFERROR(K84-L84-M84," ")</f>
        <v>45</v>
      </c>
      <c r="O84" s="30" t="str">
        <f>"Dairy - Milk, Evaporated"</f>
        <v>Dairy - Milk, Evaporated</v>
      </c>
      <c r="P84" s="30" t="str">
        <f>"24 - 12 oz"</f>
        <v>24 - 12 oz</v>
      </c>
      <c r="Q84" s="30" t="str">
        <f>"CAN"</f>
        <v>CAN</v>
      </c>
      <c r="R84" s="30" t="str">
        <f>"DRY"</f>
        <v>DRY</v>
      </c>
      <c r="S84" s="30" t="str">
        <f>"DON"</f>
        <v>DON</v>
      </c>
      <c r="T84" s="30">
        <v>18</v>
      </c>
      <c r="U84" s="44">
        <v>1.8</v>
      </c>
      <c r="V84" s="36">
        <f>IFERROR($U84*$J84," ")</f>
        <v>0</v>
      </c>
    </row>
    <row r="85" spans="1:22" ht="27.75" customHeight="1" x14ac:dyDescent="0.3">
      <c r="A85" t="s">
        <v>45</v>
      </c>
      <c r="B85" t="str">
        <f t="shared" si="10"/>
        <v/>
      </c>
      <c r="F85" s="1" t="str">
        <f>F84</f>
        <v>07</v>
      </c>
      <c r="G85" s="3"/>
      <c r="H85" s="4" t="str">
        <f>"""Ceres 5 "",""SHNLFB - Duluth - LIVE"",""27"",""1"",""12881"""</f>
        <v>"Ceres 5 ","SHNLFB - Duluth - LIVE","27","1","12881"</v>
      </c>
      <c r="I85" s="30" t="str">
        <f>"12881"</f>
        <v>12881</v>
      </c>
      <c r="J85" s="31"/>
      <c r="K85" s="32">
        <v>70</v>
      </c>
      <c r="L85" s="33">
        <v>33</v>
      </c>
      <c r="M85" s="33">
        <v>0</v>
      </c>
      <c r="N85" s="34">
        <f>IFERROR(K85-L85-M85," ")</f>
        <v>37</v>
      </c>
      <c r="O85" s="30" t="str">
        <f>"Dairy - Milk, Shelf Stable"</f>
        <v>Dairy - Milk, Shelf Stable</v>
      </c>
      <c r="P85" s="30" t="str">
        <f>"12 - 8 oz"</f>
        <v>12 - 8 oz</v>
      </c>
      <c r="Q85" s="30" t="str">
        <f>"CASE"</f>
        <v>CASE</v>
      </c>
      <c r="R85" s="30" t="str">
        <f>"DRY"</f>
        <v>DRY</v>
      </c>
      <c r="S85" s="30" t="str">
        <f>"DON"</f>
        <v>DON</v>
      </c>
      <c r="T85" s="30">
        <v>6</v>
      </c>
      <c r="U85" s="44">
        <v>0</v>
      </c>
      <c r="V85" s="36">
        <f>IFERROR($U85*$J85," ")</f>
        <v>0</v>
      </c>
    </row>
    <row r="86" spans="1:22" ht="27.75" customHeight="1" x14ac:dyDescent="0.3">
      <c r="A86" t="s">
        <v>45</v>
      </c>
      <c r="B86" t="str">
        <f t="shared" si="10"/>
        <v/>
      </c>
      <c r="F86" s="1" t="str">
        <f>F85</f>
        <v>07</v>
      </c>
      <c r="G86" s="3"/>
      <c r="H86" s="4" t="str">
        <f>"""Ceres 5 "",""SHNLFB - Duluth - LIVE"",""27"",""1"",""12363"""</f>
        <v>"Ceres 5 ","SHNLFB - Duluth - LIVE","27","1","12363"</v>
      </c>
      <c r="I86" s="30" t="str">
        <f>"12363"</f>
        <v>12363</v>
      </c>
      <c r="J86" s="31"/>
      <c r="K86" s="32">
        <v>102</v>
      </c>
      <c r="L86" s="33">
        <v>0</v>
      </c>
      <c r="M86" s="33">
        <v>0</v>
      </c>
      <c r="N86" s="34">
        <f>IFERROR(K86-L86-M86," ")</f>
        <v>102</v>
      </c>
      <c r="O86" s="30" t="str">
        <f>"Dairy - String Cheese"</f>
        <v>Dairy - String Cheese</v>
      </c>
      <c r="P86" s="30" t="str">
        <f>"12 - 9 oz"</f>
        <v>12 - 9 oz</v>
      </c>
      <c r="Q86" s="30" t="str">
        <f>"CASE"</f>
        <v>CASE</v>
      </c>
      <c r="R86" s="30" t="str">
        <f>"REF"</f>
        <v>REF</v>
      </c>
      <c r="S86" s="30" t="str">
        <f>"DON"</f>
        <v>DON</v>
      </c>
      <c r="T86" s="30">
        <v>7</v>
      </c>
      <c r="U86" s="44">
        <v>0</v>
      </c>
      <c r="V86" s="36">
        <f>IFERROR($U86*$J86," ")</f>
        <v>0</v>
      </c>
    </row>
    <row r="87" spans="1:22" ht="27.75" customHeight="1" x14ac:dyDescent="0.3">
      <c r="A87" t="s">
        <v>45</v>
      </c>
      <c r="B87" t="str">
        <f t="shared" si="10"/>
        <v/>
      </c>
      <c r="F87" s="1" t="str">
        <f>F86</f>
        <v>07</v>
      </c>
      <c r="G87" s="3"/>
      <c r="H87" s="4" t="str">
        <f>"""Ceres 5 "",""SHNLFB - Duluth - LIVE"",""27"",""1"",""10206"""</f>
        <v>"Ceres 5 ","SHNLFB - Duluth - LIVE","27","1","10206"</v>
      </c>
      <c r="I87" s="30" t="str">
        <f>"10206"</f>
        <v>10206</v>
      </c>
      <c r="J87" s="31"/>
      <c r="K87" s="32">
        <v>26</v>
      </c>
      <c r="L87" s="33">
        <v>24</v>
      </c>
      <c r="M87" s="33">
        <v>0</v>
      </c>
      <c r="N87" s="34">
        <f>IFERROR(K87-L87-M87," ")</f>
        <v>2</v>
      </c>
      <c r="O87" s="30" t="str">
        <f>"HW-Dairy - Cheese Slices, American"</f>
        <v>HW-Dairy - Cheese Slices, American</v>
      </c>
      <c r="P87" s="30" t="str">
        <f>"12 - 16 slice pks."</f>
        <v>12 - 16 slice pks.</v>
      </c>
      <c r="Q87" s="30" t="str">
        <f>"CASE"</f>
        <v>CASE</v>
      </c>
      <c r="R87" s="30" t="str">
        <f>"REF"</f>
        <v>REF</v>
      </c>
      <c r="S87" s="30" t="str">
        <f>"BBPUR"</f>
        <v>BBPUR</v>
      </c>
      <c r="T87" s="30">
        <v>9</v>
      </c>
      <c r="U87" s="44">
        <v>14.994</v>
      </c>
      <c r="V87" s="36">
        <f>IFERROR($U87*$J87," ")</f>
        <v>0</v>
      </c>
    </row>
    <row r="88" spans="1:22" ht="27.75" customHeight="1" x14ac:dyDescent="0.3">
      <c r="A88" t="s">
        <v>45</v>
      </c>
      <c r="B88" t="str">
        <f t="shared" si="10"/>
        <v/>
      </c>
      <c r="F88" s="1" t="str">
        <f>F87</f>
        <v>07</v>
      </c>
      <c r="G88" s="3"/>
      <c r="H88" s="4" t="str">
        <f>"""Ceres 5 "",""SHNLFB - Duluth - LIVE"",""27"",""1"",""11538"""</f>
        <v>"Ceres 5 ","SHNLFB - Duluth - LIVE","27","1","11538"</v>
      </c>
      <c r="I88" s="30" t="str">
        <f>"11538"</f>
        <v>11538</v>
      </c>
      <c r="J88" s="31"/>
      <c r="K88" s="32">
        <v>24</v>
      </c>
      <c r="L88" s="33">
        <v>2</v>
      </c>
      <c r="M88" s="33">
        <v>0</v>
      </c>
      <c r="N88" s="34">
        <f>IFERROR(K88-L88-M88," ")</f>
        <v>22</v>
      </c>
      <c r="O88" s="30" t="str">
        <f>"HW-Dairy - Margarine"</f>
        <v>HW-Dairy - Margarine</v>
      </c>
      <c r="P88" s="30" t="str">
        <f>"24 1 lb Quartered Sticks"</f>
        <v>24 1 lb Quartered Sticks</v>
      </c>
      <c r="Q88" s="30" t="str">
        <f>"CASE"</f>
        <v>CASE</v>
      </c>
      <c r="R88" s="30" t="str">
        <f>"REF"</f>
        <v>REF</v>
      </c>
      <c r="S88" s="30" t="str">
        <f>"BBPUR"</f>
        <v>BBPUR</v>
      </c>
      <c r="T88" s="30">
        <v>25</v>
      </c>
      <c r="U88" s="44">
        <v>18.837</v>
      </c>
      <c r="V88" s="36">
        <f>IFERROR($U88*$J88," ")</f>
        <v>0</v>
      </c>
    </row>
    <row r="89" spans="1:22" ht="27.75" customHeight="1" x14ac:dyDescent="0.3">
      <c r="A89" t="s">
        <v>45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ht="27.75" customHeight="1" x14ac:dyDescent="0.3">
      <c r="A90" t="s">
        <v>45</v>
      </c>
      <c r="F90" s="1" t="str">
        <f>G90</f>
        <v>08</v>
      </c>
      <c r="G90" s="3" t="str">
        <f>"08"</f>
        <v>08</v>
      </c>
      <c r="H90" s="4"/>
      <c r="I90" s="30"/>
      <c r="J90" s="21" t="str">
        <f>"Dessert: Cakes, Pies, Pudding, Frozen Confections"</f>
        <v>Dessert: Cakes, Pies, Pudding, Frozen Confections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27.75" customHeight="1" x14ac:dyDescent="0.3">
      <c r="A91" t="s">
        <v>45</v>
      </c>
      <c r="B91" t="str">
        <f t="shared" ref="B91" si="11">IF(N91=0,"hide","")</f>
        <v/>
      </c>
      <c r="F91" s="1" t="str">
        <f>F90</f>
        <v>08</v>
      </c>
      <c r="G91" s="3"/>
      <c r="H91" s="4" t="str">
        <f>"""Ceres 5 "",""SHNLFB - Duluth - LIVE"",""27"",""1"",""12695"""</f>
        <v>"Ceres 5 ","SHNLFB - Duluth - LIVE","27","1","12695"</v>
      </c>
      <c r="I91" s="30" t="str">
        <f>"12695"</f>
        <v>12695</v>
      </c>
      <c r="J91" s="31"/>
      <c r="K91" s="32">
        <v>35</v>
      </c>
      <c r="L91" s="33">
        <v>2</v>
      </c>
      <c r="M91" s="33">
        <v>0</v>
      </c>
      <c r="N91" s="34">
        <f>IFERROR(K91-L91-M91," ")</f>
        <v>33</v>
      </c>
      <c r="O91" s="30" t="str">
        <f>"Baking - Coconut, Angel Flake"</f>
        <v>Baking - Coconut, Angel Flake</v>
      </c>
      <c r="P91" s="30" t="str">
        <f>"10 - 14 oz"</f>
        <v>10 - 14 oz</v>
      </c>
      <c r="Q91" s="30" t="str">
        <f>"CASE"</f>
        <v>CASE</v>
      </c>
      <c r="R91" s="30" t="str">
        <f>"DRY"</f>
        <v>DRY</v>
      </c>
      <c r="S91" s="30" t="str">
        <f>"DON"</f>
        <v>DON</v>
      </c>
      <c r="T91" s="30">
        <v>10</v>
      </c>
      <c r="U91" s="44">
        <v>0</v>
      </c>
      <c r="V91" s="36">
        <f>IFERROR($U91*$J91," ")</f>
        <v>0</v>
      </c>
    </row>
    <row r="92" spans="1:22" ht="27.75" customHeight="1" x14ac:dyDescent="0.3">
      <c r="A92" t="s">
        <v>45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27.75" customHeight="1" x14ac:dyDescent="0.3">
      <c r="A93" t="s">
        <v>45</v>
      </c>
      <c r="F93" s="1" t="str">
        <f>G93</f>
        <v>09</v>
      </c>
      <c r="G93" s="3" t="str">
        <f>"09"</f>
        <v>09</v>
      </c>
      <c r="H93" s="4"/>
      <c r="I93" s="30"/>
      <c r="J93" s="21" t="str">
        <f>"Dressing:  Salad dressing, Mayonnaise"</f>
        <v>Dressing:  Salad dressing, Mayonnaise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27.75" customHeight="1" x14ac:dyDescent="0.3">
      <c r="A94" t="s">
        <v>45</v>
      </c>
      <c r="B94" t="str">
        <f t="shared" ref="B94" si="12">IF(N94=0,"hide","")</f>
        <v/>
      </c>
      <c r="F94" s="1" t="str">
        <f>F93</f>
        <v>09</v>
      </c>
      <c r="G94" s="3"/>
      <c r="H94" s="4" t="str">
        <f>"""Ceres 5 "",""SHNLFB - Duluth - LIVE"",""27"",""1"",""11219"""</f>
        <v>"Ceres 5 ","SHNLFB - Duluth - LIVE","27","1","11219"</v>
      </c>
      <c r="I94" s="30" t="str">
        <f>"11219"</f>
        <v>11219</v>
      </c>
      <c r="J94" s="31"/>
      <c r="K94" s="32">
        <v>5</v>
      </c>
      <c r="L94" s="33">
        <v>0</v>
      </c>
      <c r="M94" s="33">
        <v>0</v>
      </c>
      <c r="N94" s="34">
        <f>IFERROR(K94-L94-M94," ")</f>
        <v>5</v>
      </c>
      <c r="O94" s="30" t="str">
        <f>"Dressing - Western"</f>
        <v>Dressing - Western</v>
      </c>
      <c r="P94" s="30" t="str">
        <f>"12 - 8 oz"</f>
        <v>12 - 8 oz</v>
      </c>
      <c r="Q94" s="30" t="str">
        <f>"CASE"</f>
        <v>CASE</v>
      </c>
      <c r="R94" s="30" t="str">
        <f>"DRY"</f>
        <v>DRY</v>
      </c>
      <c r="S94" s="30" t="str">
        <f>"DON"</f>
        <v>DON</v>
      </c>
      <c r="T94" s="30">
        <v>6</v>
      </c>
      <c r="U94" s="44">
        <v>0</v>
      </c>
      <c r="V94" s="36">
        <f>IFERROR($U94*$J94," ")</f>
        <v>0</v>
      </c>
    </row>
    <row r="95" spans="1:22" ht="27.75" customHeight="1" x14ac:dyDescent="0.3">
      <c r="A95" t="s">
        <v>45</v>
      </c>
      <c r="B95" t="str">
        <f t="shared" ref="B95" si="13">IF(N95=0,"hide","")</f>
        <v/>
      </c>
      <c r="F95" s="1" t="str">
        <f>F94</f>
        <v>09</v>
      </c>
      <c r="G95" s="3"/>
      <c r="H95" s="4" t="str">
        <f>"""Ceres 5 "",""SHNLFB - Duluth - LIVE"",""27"",""1"",""13564"""</f>
        <v>"Ceres 5 ","SHNLFB - Duluth - LIVE","27","1","13564"</v>
      </c>
      <c r="I95" s="30" t="str">
        <f>"13564"</f>
        <v>13564</v>
      </c>
      <c r="J95" s="31"/>
      <c r="K95" s="32">
        <v>1</v>
      </c>
      <c r="L95" s="33">
        <v>0</v>
      </c>
      <c r="M95" s="33">
        <v>0</v>
      </c>
      <c r="N95" s="34">
        <f>IFERROR(K95-L95-M95," ")</f>
        <v>1</v>
      </c>
      <c r="O95" s="30" t="str">
        <f>"HW-Dressing - Western"</f>
        <v>HW-Dressing - Western</v>
      </c>
      <c r="P95" s="30" t="str">
        <f>"12 - 15 oz"</f>
        <v>12 - 15 oz</v>
      </c>
      <c r="Q95" s="30" t="str">
        <f>"BOTTLE"</f>
        <v>BOTTLE</v>
      </c>
      <c r="R95" s="30" t="str">
        <f>"DRY"</f>
        <v>DRY</v>
      </c>
      <c r="S95" s="30" t="str">
        <f>"BBPUR"</f>
        <v>BBPUR</v>
      </c>
      <c r="T95" s="30">
        <v>15</v>
      </c>
      <c r="U95" s="44">
        <v>18.112500000000001</v>
      </c>
      <c r="V95" s="36">
        <f>IFERROR($U95*$J95," ")</f>
        <v>0</v>
      </c>
    </row>
    <row r="96" spans="1:22" ht="27.75" customHeight="1" x14ac:dyDescent="0.3">
      <c r="A96" t="s">
        <v>45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27.75" customHeight="1" x14ac:dyDescent="0.3">
      <c r="A97" t="s">
        <v>45</v>
      </c>
      <c r="F97" s="1" t="str">
        <f>G97</f>
        <v>10</v>
      </c>
      <c r="G97" s="3" t="str">
        <f>"10"</f>
        <v>10</v>
      </c>
      <c r="H97" s="4"/>
      <c r="I97" s="30"/>
      <c r="J97" s="21" t="str">
        <f>"Fruit:  Canned and Frozen"</f>
        <v>Fruit:  Canned and Frozen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27.75" customHeight="1" x14ac:dyDescent="0.3">
      <c r="A98" t="s">
        <v>45</v>
      </c>
      <c r="B98" t="str">
        <f t="shared" ref="B98" si="14">IF(N98=0,"hide","")</f>
        <v/>
      </c>
      <c r="F98" s="1" t="str">
        <f>F97</f>
        <v>10</v>
      </c>
      <c r="G98" s="3"/>
      <c r="H98" s="4" t="str">
        <f>"""Ceres 5 "",""SHNLFB - Duluth - LIVE"",""27"",""1"",""13591"""</f>
        <v>"Ceres 5 ","SHNLFB - Duluth - LIVE","27","1","13591"</v>
      </c>
      <c r="I98" s="30" t="str">
        <f>"13591"</f>
        <v>13591</v>
      </c>
      <c r="J98" s="31"/>
      <c r="K98" s="32">
        <v>33</v>
      </c>
      <c r="L98" s="33">
        <v>1</v>
      </c>
      <c r="M98" s="33">
        <v>0</v>
      </c>
      <c r="N98" s="34">
        <f>IFERROR(K98-L98-M98," ")</f>
        <v>32</v>
      </c>
      <c r="O98" s="30" t="str">
        <f>"Fruit - Apricot Cups, Froze "</f>
        <v xml:space="preserve">Fruit - Apricot Cups, Froze </v>
      </c>
      <c r="P98" s="30" t="str">
        <f>"96 - 4.5 oz cups"</f>
        <v>96 - 4.5 oz cups</v>
      </c>
      <c r="Q98" s="30" t="str">
        <f>"CUP"</f>
        <v>CUP</v>
      </c>
      <c r="R98" s="30" t="str">
        <f>"FROZEN"</f>
        <v>FROZEN</v>
      </c>
      <c r="S98" s="30" t="str">
        <f>"DON"</f>
        <v>DON</v>
      </c>
      <c r="T98" s="30">
        <v>26</v>
      </c>
      <c r="U98" s="44">
        <v>0</v>
      </c>
      <c r="V98" s="36">
        <f>IFERROR($U98*$J98," ")</f>
        <v>0</v>
      </c>
    </row>
    <row r="99" spans="1:22" ht="27.75" customHeight="1" x14ac:dyDescent="0.3">
      <c r="A99" t="s">
        <v>45</v>
      </c>
      <c r="B99" t="str">
        <f t="shared" ref="B99:B103" si="15">IF(N99=0,"hide","")</f>
        <v/>
      </c>
      <c r="F99" s="1" t="str">
        <f>F98</f>
        <v>10</v>
      </c>
      <c r="G99" s="3"/>
      <c r="H99" s="4" t="str">
        <f>"""Ceres 5 "",""SHNLFB - Duluth - LIVE"",""27"",""1"",""10230"""</f>
        <v>"Ceres 5 ","SHNLFB - Duluth - LIVE","27","1","10230"</v>
      </c>
      <c r="I99" s="30" t="str">
        <f>"10230"</f>
        <v>10230</v>
      </c>
      <c r="J99" s="31"/>
      <c r="K99" s="32">
        <v>26</v>
      </c>
      <c r="L99" s="33">
        <v>17</v>
      </c>
      <c r="M99" s="33">
        <v>0</v>
      </c>
      <c r="N99" s="34">
        <f>IFERROR(K99-L99-M99," ")</f>
        <v>9</v>
      </c>
      <c r="O99" s="30" t="str">
        <f>"HW-Fruit - Applesauce"</f>
        <v>HW-Fruit - Applesauce</v>
      </c>
      <c r="P99" s="30" t="str">
        <f>"24-15 oz"</f>
        <v>24-15 oz</v>
      </c>
      <c r="Q99" s="30" t="str">
        <f>"CASE"</f>
        <v>CASE</v>
      </c>
      <c r="R99" s="30" t="str">
        <f>"DRY"</f>
        <v>DRY</v>
      </c>
      <c r="S99" s="30" t="str">
        <f>"BBPUR"</f>
        <v>BBPUR</v>
      </c>
      <c r="T99" s="30">
        <v>27</v>
      </c>
      <c r="U99" s="44">
        <v>15.109500000000001</v>
      </c>
      <c r="V99" s="36">
        <f>IFERROR($U99*$J99," ")</f>
        <v>0</v>
      </c>
    </row>
    <row r="100" spans="1:22" ht="27.75" customHeight="1" x14ac:dyDescent="0.3">
      <c r="A100" t="s">
        <v>45</v>
      </c>
      <c r="B100" t="str">
        <f t="shared" si="15"/>
        <v/>
      </c>
      <c r="F100" s="1" t="str">
        <f>F99</f>
        <v>10</v>
      </c>
      <c r="G100" s="3"/>
      <c r="H100" s="4" t="str">
        <f>"""Ceres 5 "",""SHNLFB - Duluth - LIVE"",""27"",""1"",""10236"""</f>
        <v>"Ceres 5 ","SHNLFB - Duluth - LIVE","27","1","10236"</v>
      </c>
      <c r="I100" s="30" t="str">
        <f>"10236"</f>
        <v>10236</v>
      </c>
      <c r="J100" s="31"/>
      <c r="K100" s="32">
        <v>74</v>
      </c>
      <c r="L100" s="33">
        <v>24</v>
      </c>
      <c r="M100" s="33">
        <v>0</v>
      </c>
      <c r="N100" s="34">
        <f>IFERROR(K100-L100-M100," ")</f>
        <v>50</v>
      </c>
      <c r="O100" s="30" t="str">
        <f>"HW-Fruit - Mandarin Oranges"</f>
        <v>HW-Fruit - Mandarin Oranges</v>
      </c>
      <c r="P100" s="30" t="str">
        <f>"24-11 oz"</f>
        <v>24-11 oz</v>
      </c>
      <c r="Q100" s="30" t="str">
        <f>"CASE"</f>
        <v>CASE</v>
      </c>
      <c r="R100" s="30" t="str">
        <f>"DRY"</f>
        <v>DRY</v>
      </c>
      <c r="S100" s="30" t="str">
        <f>"BBPUR"</f>
        <v>BBPUR</v>
      </c>
      <c r="T100" s="30">
        <v>21</v>
      </c>
      <c r="U100" s="44">
        <v>16.254000000000001</v>
      </c>
      <c r="V100" s="36">
        <f>IFERROR($U100*$J100," ")</f>
        <v>0</v>
      </c>
    </row>
    <row r="101" spans="1:22" ht="27.75" customHeight="1" x14ac:dyDescent="0.3">
      <c r="A101" t="s">
        <v>45</v>
      </c>
      <c r="B101" t="str">
        <f t="shared" si="15"/>
        <v/>
      </c>
      <c r="F101" s="1" t="str">
        <f>F100</f>
        <v>10</v>
      </c>
      <c r="G101" s="3"/>
      <c r="H101" s="4" t="str">
        <f>"""Ceres 5 "",""SHNLFB - Duluth - LIVE"",""27"",""1"",""12813"""</f>
        <v>"Ceres 5 ","SHNLFB - Duluth - LIVE","27","1","12813"</v>
      </c>
      <c r="I101" s="30" t="str">
        <f>"12813"</f>
        <v>12813</v>
      </c>
      <c r="J101" s="31"/>
      <c r="K101" s="32">
        <v>20</v>
      </c>
      <c r="L101" s="33">
        <v>9</v>
      </c>
      <c r="M101" s="33">
        <v>0</v>
      </c>
      <c r="N101" s="34">
        <f>IFERROR(K101-L101-M101," ")</f>
        <v>11</v>
      </c>
      <c r="O101" s="30" t="str">
        <f>"HW-Fruit - Mixed Fruit"</f>
        <v>HW-Fruit - Mixed Fruit</v>
      </c>
      <c r="P101" s="30" t="str">
        <f>"24 - 15 oz"</f>
        <v>24 - 15 oz</v>
      </c>
      <c r="Q101" s="30" t="str">
        <f>"CASE"</f>
        <v>CASE</v>
      </c>
      <c r="R101" s="30" t="str">
        <f>"DRY"</f>
        <v>DRY</v>
      </c>
      <c r="S101" s="30" t="str">
        <f>"BBPUR"</f>
        <v>BBPUR</v>
      </c>
      <c r="T101" s="30">
        <v>27</v>
      </c>
      <c r="U101" s="44">
        <v>17.960249999999998</v>
      </c>
      <c r="V101" s="36">
        <f>IFERROR($U101*$J101," ")</f>
        <v>0</v>
      </c>
    </row>
    <row r="102" spans="1:22" ht="27.75" customHeight="1" x14ac:dyDescent="0.3">
      <c r="A102" t="s">
        <v>45</v>
      </c>
      <c r="B102" t="str">
        <f t="shared" si="15"/>
        <v/>
      </c>
      <c r="F102" s="1" t="str">
        <f>F101</f>
        <v>10</v>
      </c>
      <c r="G102" s="3"/>
      <c r="H102" s="4" t="str">
        <f>"""Ceres 5 "",""SHNLFB - Duluth - LIVE"",""27"",""1"",""10554"""</f>
        <v>"Ceres 5 ","SHNLFB - Duluth - LIVE","27","1","10554"</v>
      </c>
      <c r="I102" s="30" t="str">
        <f>"10554"</f>
        <v>10554</v>
      </c>
      <c r="J102" s="31"/>
      <c r="K102" s="32">
        <v>190</v>
      </c>
      <c r="L102" s="33">
        <v>34</v>
      </c>
      <c r="M102" s="33">
        <v>0</v>
      </c>
      <c r="N102" s="34">
        <f>IFERROR(K102-L102-M102," ")</f>
        <v>156</v>
      </c>
      <c r="O102" s="30" t="str">
        <f>"HW-Fruit - Peaches"</f>
        <v>HW-Fruit - Peaches</v>
      </c>
      <c r="P102" s="30" t="str">
        <f>"24-15 oz cans"</f>
        <v>24-15 oz cans</v>
      </c>
      <c r="Q102" s="30" t="str">
        <f>"CASE"</f>
        <v>CASE</v>
      </c>
      <c r="R102" s="30" t="str">
        <f>"DRY"</f>
        <v>DRY</v>
      </c>
      <c r="S102" s="30" t="str">
        <f>"BBPUR"</f>
        <v>BBPUR</v>
      </c>
      <c r="T102" s="30">
        <v>27</v>
      </c>
      <c r="U102" s="44">
        <v>20.696329500000001</v>
      </c>
      <c r="V102" s="36">
        <f>IFERROR($U102*$J102," ")</f>
        <v>0</v>
      </c>
    </row>
    <row r="103" spans="1:22" ht="27.75" customHeight="1" x14ac:dyDescent="0.3">
      <c r="A103" t="s">
        <v>45</v>
      </c>
      <c r="B103" t="str">
        <f t="shared" si="15"/>
        <v/>
      </c>
      <c r="F103" s="1" t="str">
        <f>F102</f>
        <v>10</v>
      </c>
      <c r="G103" s="3"/>
      <c r="H103" s="4" t="str">
        <f>"""Ceres 5 "",""SHNLFB - Duluth - LIVE"",""27"",""1"",""10553"""</f>
        <v>"Ceres 5 ","SHNLFB - Duluth - LIVE","27","1","10553"</v>
      </c>
      <c r="I103" s="30" t="str">
        <f>"10553"</f>
        <v>10553</v>
      </c>
      <c r="J103" s="31"/>
      <c r="K103" s="32">
        <v>73</v>
      </c>
      <c r="L103" s="33">
        <v>24</v>
      </c>
      <c r="M103" s="33">
        <v>0</v>
      </c>
      <c r="N103" s="34">
        <f>IFERROR(K103-L103-M103," ")</f>
        <v>49</v>
      </c>
      <c r="O103" s="30" t="str">
        <f>"HW-Fruit - Pears"</f>
        <v>HW-Fruit - Pears</v>
      </c>
      <c r="P103" s="30" t="str">
        <f>"24-15 oz cans"</f>
        <v>24-15 oz cans</v>
      </c>
      <c r="Q103" s="30" t="str">
        <f>"CASE"</f>
        <v>CASE</v>
      </c>
      <c r="R103" s="30" t="str">
        <f>"DRY"</f>
        <v>DRY</v>
      </c>
      <c r="S103" s="30" t="str">
        <f>"BBPUR"</f>
        <v>BBPUR</v>
      </c>
      <c r="T103" s="30">
        <v>27</v>
      </c>
      <c r="U103" s="44">
        <v>18.0075</v>
      </c>
      <c r="V103" s="36">
        <f>IFERROR($U103*$J103," ")</f>
        <v>0</v>
      </c>
    </row>
    <row r="104" spans="1:22" ht="27.75" customHeight="1" x14ac:dyDescent="0.3">
      <c r="A104" t="s">
        <v>45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27.75" customHeight="1" x14ac:dyDescent="0.3">
      <c r="A105" t="s">
        <v>45</v>
      </c>
      <c r="F105" s="1" t="str">
        <f>G105</f>
        <v>11</v>
      </c>
      <c r="G105" s="3" t="str">
        <f>"11"</f>
        <v>11</v>
      </c>
      <c r="H105" s="4"/>
      <c r="I105" s="30"/>
      <c r="J105" s="21" t="str">
        <f>"Grain: Flour, Corn Meal, Matzo Meal"</f>
        <v>Grain: Flour, Corn Meal, Matzo Meal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27.75" customHeight="1" x14ac:dyDescent="0.3">
      <c r="A106" t="s">
        <v>45</v>
      </c>
      <c r="B106" t="str">
        <f t="shared" ref="B106" si="16">IF(N106=0,"hide","")</f>
        <v/>
      </c>
      <c r="F106" s="1" t="str">
        <f>F105</f>
        <v>11</v>
      </c>
      <c r="G106" s="3"/>
      <c r="H106" s="4" t="str">
        <f>"""Ceres 5 "",""SHNLFB - Duluth - LIVE"",""27"",""1"",""12536"""</f>
        <v>"Ceres 5 ","SHNLFB - Duluth - LIVE","27","1","12536"</v>
      </c>
      <c r="I106" s="30" t="str">
        <f>"12536"</f>
        <v>12536</v>
      </c>
      <c r="J106" s="31"/>
      <c r="K106" s="32">
        <v>122</v>
      </c>
      <c r="L106" s="33">
        <v>6</v>
      </c>
      <c r="M106" s="33">
        <v>0</v>
      </c>
      <c r="N106" s="34">
        <f>IFERROR(K106-L106-M106," ")</f>
        <v>116</v>
      </c>
      <c r="O106" s="30" t="str">
        <f>"Grain - Flour, All Purpose"</f>
        <v>Grain - Flour, All Purpose</v>
      </c>
      <c r="P106" s="30" t="str">
        <f>"8-5 lb"</f>
        <v>8-5 lb</v>
      </c>
      <c r="Q106" s="30" t="str">
        <f>"CASE"</f>
        <v>CASE</v>
      </c>
      <c r="R106" s="30" t="str">
        <f>"DRY"</f>
        <v>DRY</v>
      </c>
      <c r="S106" s="30" t="str">
        <f>"DON"</f>
        <v>DON</v>
      </c>
      <c r="T106" s="30">
        <v>40</v>
      </c>
      <c r="U106" s="44">
        <v>7.6</v>
      </c>
      <c r="V106" s="36">
        <f>IFERROR($U106*$J106," ")</f>
        <v>0</v>
      </c>
    </row>
    <row r="107" spans="1:22" ht="27.75" customHeight="1" x14ac:dyDescent="0.3">
      <c r="A107" t="s">
        <v>45</v>
      </c>
      <c r="B107" t="str">
        <f t="shared" ref="B107" si="17">IF(N107=0,"hide","")</f>
        <v/>
      </c>
      <c r="F107" s="1" t="str">
        <f>F106</f>
        <v>11</v>
      </c>
      <c r="G107" s="3"/>
      <c r="H107" s="4" t="str">
        <f>"""Ceres 5 "",""SHNLFB - Duluth - LIVE"",""27"",""1"",""10240"""</f>
        <v>"Ceres 5 ","SHNLFB - Duluth - LIVE","27","1","10240"</v>
      </c>
      <c r="I107" s="30" t="str">
        <f>"10240"</f>
        <v>10240</v>
      </c>
      <c r="J107" s="31"/>
      <c r="K107" s="32">
        <v>60</v>
      </c>
      <c r="L107" s="33">
        <v>7</v>
      </c>
      <c r="M107" s="33">
        <v>0</v>
      </c>
      <c r="N107" s="34">
        <f>IFERROR(K107-L107-M107," ")</f>
        <v>53</v>
      </c>
      <c r="O107" s="30" t="str">
        <f>"HW-Grain - Flour"</f>
        <v>HW-Grain - Flour</v>
      </c>
      <c r="P107" s="30" t="str">
        <f>"8-5 lb bags"</f>
        <v>8-5 lb bags</v>
      </c>
      <c r="Q107" s="30" t="str">
        <f>"CASE"</f>
        <v>CASE</v>
      </c>
      <c r="R107" s="30" t="str">
        <f>"DRY"</f>
        <v>DRY</v>
      </c>
      <c r="S107" s="30" t="str">
        <f>"BBPUR"</f>
        <v>BBPUR</v>
      </c>
      <c r="T107" s="30">
        <v>41</v>
      </c>
      <c r="U107" s="44">
        <v>13.692</v>
      </c>
      <c r="V107" s="36">
        <f>IFERROR($U107*$J107," ")</f>
        <v>0</v>
      </c>
    </row>
    <row r="108" spans="1:22" ht="27.75" customHeight="1" x14ac:dyDescent="0.3">
      <c r="A108" t="s">
        <v>45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t="27.75" customHeight="1" x14ac:dyDescent="0.3">
      <c r="A109" t="s">
        <v>45</v>
      </c>
      <c r="F109" s="1" t="str">
        <f>G109</f>
        <v>12</v>
      </c>
      <c r="G109" s="3" t="str">
        <f>"12"</f>
        <v>12</v>
      </c>
      <c r="H109" s="4"/>
      <c r="I109" s="30"/>
      <c r="J109" s="21" t="str">
        <f>"Health/Beauty Care: Shampoo, Conditioner, Soap, Cosmetics, Deodorants, All Dental Care"</f>
        <v>Health/Beauty Care: Shampoo, Conditioner, Soap, Cosmetics, Deodorants, All Dental Care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27.75" customHeight="1" x14ac:dyDescent="0.3">
      <c r="A110" t="s">
        <v>45</v>
      </c>
      <c r="B110" t="str">
        <f t="shared" ref="B110" si="18">IF(N110=0,"hide","")</f>
        <v/>
      </c>
      <c r="F110" s="1" t="str">
        <f>F109</f>
        <v>12</v>
      </c>
      <c r="G110" s="3"/>
      <c r="H110" s="4" t="str">
        <f>"""Ceres 5 "",""SHNLFB - Duluth - LIVE"",""27"",""1"",""13630"""</f>
        <v>"Ceres 5 ","SHNLFB - Duluth - LIVE","27","1","13630"</v>
      </c>
      <c r="I110" s="30" t="str">
        <f>"13630"</f>
        <v>13630</v>
      </c>
      <c r="J110" s="31"/>
      <c r="K110" s="32">
        <v>28</v>
      </c>
      <c r="L110" s="33">
        <v>4</v>
      </c>
      <c r="M110" s="33">
        <v>0</v>
      </c>
      <c r="N110" s="34">
        <f>IFERROR(K110-L110-M110," ")</f>
        <v>24</v>
      </c>
      <c r="O110" s="30" t="str">
        <f>"Health/Beauty - Bar Soap"</f>
        <v>Health/Beauty - Bar Soap</v>
      </c>
      <c r="P110" s="30" t="str">
        <f>"48 - 5.2 oz bars"</f>
        <v>48 - 5.2 oz bars</v>
      </c>
      <c r="Q110" s="30" t="str">
        <f>"CASE"</f>
        <v>CASE</v>
      </c>
      <c r="R110" s="30" t="str">
        <f>"DRY"</f>
        <v>DRY</v>
      </c>
      <c r="S110" s="30" t="str">
        <f>"DON"</f>
        <v>DON</v>
      </c>
      <c r="T110" s="30">
        <v>16</v>
      </c>
      <c r="U110" s="44">
        <v>3.04</v>
      </c>
      <c r="V110" s="36">
        <f>IFERROR($U110*$J110," ")</f>
        <v>0</v>
      </c>
    </row>
    <row r="111" spans="1:22" ht="27.75" customHeight="1" x14ac:dyDescent="0.3">
      <c r="A111" t="s">
        <v>45</v>
      </c>
      <c r="B111" t="str">
        <f t="shared" ref="B111:B121" si="19">IF(N111=0,"hide","")</f>
        <v/>
      </c>
      <c r="F111" s="1" t="str">
        <f>F110</f>
        <v>12</v>
      </c>
      <c r="G111" s="3"/>
      <c r="H111" s="4" t="str">
        <f>"""Ceres 5 "",""SHNLFB - Duluth - LIVE"",""27"",""1"",""11832"""</f>
        <v>"Ceres 5 ","SHNLFB - Duluth - LIVE","27","1","11832"</v>
      </c>
      <c r="I111" s="30" t="str">
        <f>"11832"</f>
        <v>11832</v>
      </c>
      <c r="J111" s="31"/>
      <c r="K111" s="32">
        <v>25</v>
      </c>
      <c r="L111" s="33">
        <v>0</v>
      </c>
      <c r="M111" s="33">
        <v>0</v>
      </c>
      <c r="N111" s="34">
        <f>IFERROR(K111-L111-M111," ")</f>
        <v>25</v>
      </c>
      <c r="O111" s="30" t="str">
        <f>"Health/Beauty - Beard Oil"</f>
        <v>Health/Beauty - Beard Oil</v>
      </c>
      <c r="P111" s="30" t="str">
        <f>"48 - 2.77 oz"</f>
        <v>48 - 2.77 oz</v>
      </c>
      <c r="Q111" s="30" t="str">
        <f>"CASE"</f>
        <v>CASE</v>
      </c>
      <c r="R111" s="30" t="str">
        <f>"DRY"</f>
        <v>DRY</v>
      </c>
      <c r="S111" s="30" t="str">
        <f>"DON"</f>
        <v>DON</v>
      </c>
      <c r="T111" s="30">
        <v>11</v>
      </c>
      <c r="U111" s="44">
        <v>0</v>
      </c>
      <c r="V111" s="36">
        <f>IFERROR($U111*$J111," ")</f>
        <v>0</v>
      </c>
    </row>
    <row r="112" spans="1:22" ht="27.75" customHeight="1" x14ac:dyDescent="0.3">
      <c r="A112" t="s">
        <v>45</v>
      </c>
      <c r="B112" t="str">
        <f t="shared" si="19"/>
        <v/>
      </c>
      <c r="F112" s="1" t="str">
        <f>F111</f>
        <v>12</v>
      </c>
      <c r="G112" s="3"/>
      <c r="H112" s="4" t="str">
        <f>"""Ceres 5 "",""SHNLFB - Duluth - LIVE"",""27"",""1"",""10296"""</f>
        <v>"Ceres 5 ","SHNLFB - Duluth - LIVE","27","1","10296"</v>
      </c>
      <c r="I112" s="30" t="str">
        <f>"10296"</f>
        <v>10296</v>
      </c>
      <c r="J112" s="31"/>
      <c r="K112" s="32">
        <v>22</v>
      </c>
      <c r="L112" s="33">
        <v>0</v>
      </c>
      <c r="M112" s="33">
        <v>0</v>
      </c>
      <c r="N112" s="34">
        <f>IFERROR(K112-L112-M112," ")</f>
        <v>22</v>
      </c>
      <c r="O112" s="30" t="str">
        <f>"Health/Beauty - Hand Sanitizer"</f>
        <v>Health/Beauty - Hand Sanitizer</v>
      </c>
      <c r="P112" s="30" t="str">
        <f>"12 - 16 oz"</f>
        <v>12 - 16 oz</v>
      </c>
      <c r="Q112" s="30" t="str">
        <f>"CASE"</f>
        <v>CASE</v>
      </c>
      <c r="R112" s="30" t="str">
        <f>"DRY"</f>
        <v>DRY</v>
      </c>
      <c r="S112" s="30" t="str">
        <f>"DON"</f>
        <v>DON</v>
      </c>
      <c r="T112" s="30">
        <v>12</v>
      </c>
      <c r="U112" s="44">
        <v>0</v>
      </c>
      <c r="V112" s="36">
        <f>IFERROR($U112*$J112," ")</f>
        <v>0</v>
      </c>
    </row>
    <row r="113" spans="1:22" ht="27.75" customHeight="1" x14ac:dyDescent="0.3">
      <c r="A113" t="s">
        <v>45</v>
      </c>
      <c r="B113" t="str">
        <f t="shared" si="19"/>
        <v/>
      </c>
      <c r="F113" s="1" t="str">
        <f>F112</f>
        <v>12</v>
      </c>
      <c r="G113" s="3"/>
      <c r="H113" s="4" t="str">
        <f>"""Ceres 5 "",""SHNLFB - Duluth - LIVE"",""27"",""1"",""13568"""</f>
        <v>"Ceres 5 ","SHNLFB - Duluth - LIVE","27","1","13568"</v>
      </c>
      <c r="I113" s="30" t="str">
        <f>"13568"</f>
        <v>13568</v>
      </c>
      <c r="J113" s="31"/>
      <c r="K113" s="32">
        <v>482</v>
      </c>
      <c r="L113" s="33">
        <v>104</v>
      </c>
      <c r="M113" s="33">
        <v>0</v>
      </c>
      <c r="N113" s="34">
        <f>IFERROR(K113-L113-M113," ")</f>
        <v>378</v>
      </c>
      <c r="O113" s="30" t="str">
        <f>"Health/Beauty - Hand Sanitizer"</f>
        <v>Health/Beauty - Hand Sanitizer</v>
      </c>
      <c r="P113" s="30" t="str">
        <f>"6 - 12 oz"</f>
        <v>6 - 12 oz</v>
      </c>
      <c r="Q113" s="30" t="str">
        <f>"CASE"</f>
        <v>CASE</v>
      </c>
      <c r="R113" s="30" t="str">
        <f>"DRY"</f>
        <v>DRY</v>
      </c>
      <c r="S113" s="30" t="str">
        <f>"DON"</f>
        <v>DON</v>
      </c>
      <c r="T113" s="30">
        <v>5</v>
      </c>
      <c r="U113" s="44">
        <v>0</v>
      </c>
      <c r="V113" s="36">
        <f>IFERROR($U113*$J113," ")</f>
        <v>0</v>
      </c>
    </row>
    <row r="114" spans="1:22" ht="27.75" customHeight="1" x14ac:dyDescent="0.3">
      <c r="A114" t="s">
        <v>45</v>
      </c>
      <c r="B114" t="str">
        <f t="shared" si="19"/>
        <v/>
      </c>
      <c r="F114" s="1" t="str">
        <f>F113</f>
        <v>12</v>
      </c>
      <c r="G114" s="3"/>
      <c r="H114" s="4" t="str">
        <f>"""Ceres 5 "",""SHNLFB - Duluth - LIVE"",""27"",""1"",""10295"""</f>
        <v>"Ceres 5 ","SHNLFB - Duluth - LIVE","27","1","10295"</v>
      </c>
      <c r="I114" s="30" t="str">
        <f>"10295"</f>
        <v>10295</v>
      </c>
      <c r="J114" s="31"/>
      <c r="K114" s="32">
        <v>19</v>
      </c>
      <c r="L114" s="33">
        <v>2</v>
      </c>
      <c r="M114" s="33">
        <v>0</v>
      </c>
      <c r="N114" s="34">
        <f>IFERROR(K114-L114-M114," ")</f>
        <v>17</v>
      </c>
      <c r="O114" s="30" t="str">
        <f>"Health/Beauty - Hand Sanitizer, with Pump "</f>
        <v xml:space="preserve">Health/Beauty - Hand Sanitizer, with Pump </v>
      </c>
      <c r="P114" s="30" t="str">
        <f>"24 - 16.9 oz"</f>
        <v>24 - 16.9 oz</v>
      </c>
      <c r="Q114" s="30" t="str">
        <f>"CASE"</f>
        <v>CASE</v>
      </c>
      <c r="R114" s="30" t="str">
        <f>"DRY"</f>
        <v>DRY</v>
      </c>
      <c r="S114" s="30" t="str">
        <f>"DON"</f>
        <v>DON</v>
      </c>
      <c r="T114" s="30">
        <v>28</v>
      </c>
      <c r="U114" s="44">
        <v>0</v>
      </c>
      <c r="V114" s="36">
        <f>IFERROR($U114*$J114," ")</f>
        <v>0</v>
      </c>
    </row>
    <row r="115" spans="1:22" ht="27.75" customHeight="1" x14ac:dyDescent="0.3">
      <c r="A115" t="s">
        <v>45</v>
      </c>
      <c r="B115" t="str">
        <f t="shared" si="19"/>
        <v/>
      </c>
      <c r="F115" s="1" t="str">
        <f>F114</f>
        <v>12</v>
      </c>
      <c r="G115" s="3"/>
      <c r="H115" s="4" t="str">
        <f>"""Ceres 5 "",""SHNLFB - Duluth - LIVE"",""27"",""1"",""12235"""</f>
        <v>"Ceres 5 ","SHNLFB - Duluth - LIVE","27","1","12235"</v>
      </c>
      <c r="I115" s="30" t="str">
        <f>"12235"</f>
        <v>12235</v>
      </c>
      <c r="J115" s="31"/>
      <c r="K115" s="32">
        <v>595</v>
      </c>
      <c r="L115" s="33">
        <v>44</v>
      </c>
      <c r="M115" s="33">
        <v>0</v>
      </c>
      <c r="N115" s="34">
        <f>IFERROR(K115-L115-M115," ")</f>
        <v>551</v>
      </c>
      <c r="O115" s="30" t="str">
        <f>"Health/Beauty - Hand Soap"</f>
        <v>Health/Beauty - Hand Soap</v>
      </c>
      <c r="P115" s="30" t="str">
        <f>"6 - 12 oz"</f>
        <v>6 - 12 oz</v>
      </c>
      <c r="Q115" s="30" t="str">
        <f>"CASE"</f>
        <v>CASE</v>
      </c>
      <c r="R115" s="30" t="str">
        <f>"DRY"</f>
        <v>DRY</v>
      </c>
      <c r="S115" s="30" t="str">
        <f>"DON"</f>
        <v>DON</v>
      </c>
      <c r="T115" s="30">
        <v>7</v>
      </c>
      <c r="U115" s="44">
        <v>0</v>
      </c>
      <c r="V115" s="36">
        <f>IFERROR($U115*$J115," ")</f>
        <v>0</v>
      </c>
    </row>
    <row r="116" spans="1:22" ht="27.75" customHeight="1" x14ac:dyDescent="0.3">
      <c r="A116" t="s">
        <v>45</v>
      </c>
      <c r="B116" t="str">
        <f t="shared" si="19"/>
        <v/>
      </c>
      <c r="F116" s="1" t="str">
        <f>F115</f>
        <v>12</v>
      </c>
      <c r="G116" s="3"/>
      <c r="H116" s="4" t="str">
        <f>"""Ceres 5 "",""SHNLFB - Duluth - LIVE"",""27"",""1"",""13539"""</f>
        <v>"Ceres 5 ","SHNLFB - Duluth - LIVE","27","1","13539"</v>
      </c>
      <c r="I116" s="30" t="str">
        <f>"13539"</f>
        <v>13539</v>
      </c>
      <c r="J116" s="31"/>
      <c r="K116" s="32">
        <v>115</v>
      </c>
      <c r="L116" s="33">
        <v>5</v>
      </c>
      <c r="M116" s="33">
        <v>0</v>
      </c>
      <c r="N116" s="34">
        <f>IFERROR(K116-L116-M116," ")</f>
        <v>110</v>
      </c>
      <c r="O116" s="30" t="str">
        <f>"Health/Beauty - Hand Soap"</f>
        <v>Health/Beauty - Hand Soap</v>
      </c>
      <c r="P116" s="30" t="str">
        <f>"12 - 16.9 oz"</f>
        <v>12 - 16.9 oz</v>
      </c>
      <c r="Q116" s="30" t="str">
        <f>"CASE"</f>
        <v>CASE</v>
      </c>
      <c r="R116" s="30" t="str">
        <f>"DRY"</f>
        <v>DRY</v>
      </c>
      <c r="S116" s="30" t="str">
        <f>"DON"</f>
        <v>DON</v>
      </c>
      <c r="T116" s="30">
        <v>14</v>
      </c>
      <c r="U116" s="44">
        <v>0</v>
      </c>
      <c r="V116" s="36">
        <f>IFERROR($U116*$J116," ")</f>
        <v>0</v>
      </c>
    </row>
    <row r="117" spans="1:22" ht="27.75" customHeight="1" x14ac:dyDescent="0.3">
      <c r="A117" t="s">
        <v>45</v>
      </c>
      <c r="B117" t="str">
        <f t="shared" si="19"/>
        <v/>
      </c>
      <c r="F117" s="1" t="str">
        <f>F116</f>
        <v>12</v>
      </c>
      <c r="G117" s="3"/>
      <c r="H117" s="4" t="str">
        <f>"""Ceres 5 "",""SHNLFB - Duluth - LIVE"",""27"",""1"",""13622"""</f>
        <v>"Ceres 5 ","SHNLFB - Duluth - LIVE","27","1","13622"</v>
      </c>
      <c r="I117" s="30" t="str">
        <f>"13622"</f>
        <v>13622</v>
      </c>
      <c r="J117" s="31"/>
      <c r="K117" s="32">
        <v>288</v>
      </c>
      <c r="L117" s="33">
        <v>12</v>
      </c>
      <c r="M117" s="33">
        <v>0</v>
      </c>
      <c r="N117" s="34">
        <f>IFERROR(K117-L117-M117," ")</f>
        <v>276</v>
      </c>
      <c r="O117" s="30" t="str">
        <f>"Health/Beauty - Hand Soap"</f>
        <v>Health/Beauty - Hand Soap</v>
      </c>
      <c r="P117" s="30" t="str">
        <f>"6 - 13 oz"</f>
        <v>6 - 13 oz</v>
      </c>
      <c r="Q117" s="30" t="str">
        <f>"CASE"</f>
        <v>CASE</v>
      </c>
      <c r="R117" s="30" t="str">
        <f>"DRY"</f>
        <v>DRY</v>
      </c>
      <c r="S117" s="30" t="str">
        <f>"DON"</f>
        <v>DON</v>
      </c>
      <c r="T117" s="30">
        <v>6</v>
      </c>
      <c r="U117" s="44">
        <v>0</v>
      </c>
      <c r="V117" s="36">
        <f>IFERROR($U117*$J117," ")</f>
        <v>0</v>
      </c>
    </row>
    <row r="118" spans="1:22" ht="27.75" customHeight="1" x14ac:dyDescent="0.3">
      <c r="A118" t="s">
        <v>45</v>
      </c>
      <c r="B118" t="str">
        <f t="shared" si="19"/>
        <v/>
      </c>
      <c r="F118" s="1" t="str">
        <f>F117</f>
        <v>12</v>
      </c>
      <c r="G118" s="3"/>
      <c r="H118" s="4" t="str">
        <f>"""Ceres 5 "",""SHNLFB - Duluth - LIVE"",""27"",""1"",""11599"""</f>
        <v>"Ceres 5 ","SHNLFB - Duluth - LIVE","27","1","11599"</v>
      </c>
      <c r="I118" s="30" t="str">
        <f>"11599"</f>
        <v>11599</v>
      </c>
      <c r="J118" s="31"/>
      <c r="K118" s="32">
        <v>12</v>
      </c>
      <c r="L118" s="33">
        <v>0</v>
      </c>
      <c r="M118" s="33">
        <v>0</v>
      </c>
      <c r="N118" s="34">
        <f>IFERROR(K118-L118-M118," ")</f>
        <v>12</v>
      </c>
      <c r="O118" s="30" t="str">
        <f>"Health/Beauty - Sanitary Pads"</f>
        <v>Health/Beauty - Sanitary Pads</v>
      </c>
      <c r="P118" s="30" t="str">
        <f>"6 - 24 ct"</f>
        <v>6 - 24 ct</v>
      </c>
      <c r="Q118" s="30" t="str">
        <f>"CASE"</f>
        <v>CASE</v>
      </c>
      <c r="R118" s="30" t="str">
        <f>"DRY"</f>
        <v>DRY</v>
      </c>
      <c r="S118" s="30" t="str">
        <f>"DON"</f>
        <v>DON</v>
      </c>
      <c r="T118" s="30">
        <v>3</v>
      </c>
      <c r="U118" s="44">
        <v>0</v>
      </c>
      <c r="V118" s="36">
        <f>IFERROR($U118*$J118," ")</f>
        <v>0</v>
      </c>
    </row>
    <row r="119" spans="1:22" ht="27.75" customHeight="1" x14ac:dyDescent="0.3">
      <c r="A119" t="s">
        <v>45</v>
      </c>
      <c r="B119" t="str">
        <f t="shared" si="19"/>
        <v/>
      </c>
      <c r="F119" s="1" t="str">
        <f>F118</f>
        <v>12</v>
      </c>
      <c r="G119" s="3"/>
      <c r="H119" s="4" t="str">
        <f>"""Ceres 5 "",""SHNLFB - Duluth - LIVE"",""27"",""1"",""11976"""</f>
        <v>"Ceres 5 ","SHNLFB - Duluth - LIVE","27","1","11976"</v>
      </c>
      <c r="I119" s="30" t="str">
        <f>"11976"</f>
        <v>11976</v>
      </c>
      <c r="J119" s="31"/>
      <c r="K119" s="32">
        <v>877</v>
      </c>
      <c r="L119" s="33">
        <v>20</v>
      </c>
      <c r="M119" s="33">
        <v>0</v>
      </c>
      <c r="N119" s="34">
        <f>IFERROR(K119-L119-M119," ")</f>
        <v>857</v>
      </c>
      <c r="O119" s="30" t="str">
        <f>"Health/Beauty - Sanitary Pads"</f>
        <v>Health/Beauty - Sanitary Pads</v>
      </c>
      <c r="P119" s="30" t="str">
        <f>"3 - 21 ct"</f>
        <v>3 - 21 ct</v>
      </c>
      <c r="Q119" s="30" t="str">
        <f>"CASE"</f>
        <v>CASE</v>
      </c>
      <c r="R119" s="30" t="str">
        <f>"DRY"</f>
        <v>DRY</v>
      </c>
      <c r="S119" s="30" t="str">
        <f>"DON"</f>
        <v>DON</v>
      </c>
      <c r="T119" s="30">
        <v>3</v>
      </c>
      <c r="U119" s="44">
        <v>0</v>
      </c>
      <c r="V119" s="36">
        <f>IFERROR($U119*$J119," ")</f>
        <v>0</v>
      </c>
    </row>
    <row r="120" spans="1:22" ht="27.75" customHeight="1" x14ac:dyDescent="0.3">
      <c r="A120" t="s">
        <v>45</v>
      </c>
      <c r="B120" t="str">
        <f t="shared" si="19"/>
        <v/>
      </c>
      <c r="F120" s="1" t="str">
        <f>F119</f>
        <v>12</v>
      </c>
      <c r="G120" s="3"/>
      <c r="H120" s="4" t="str">
        <f>"""Ceres 5 "",""SHNLFB - Duluth - LIVE"",""27"",""1"",""13640"""</f>
        <v>"Ceres 5 ","SHNLFB - Duluth - LIVE","27","1","13640"</v>
      </c>
      <c r="I120" s="30" t="str">
        <f>"13640"</f>
        <v>13640</v>
      </c>
      <c r="J120" s="31"/>
      <c r="K120" s="32">
        <v>209</v>
      </c>
      <c r="L120" s="33">
        <v>56</v>
      </c>
      <c r="M120" s="33">
        <v>0</v>
      </c>
      <c r="N120" s="34">
        <f>IFERROR(K120-L120-M120," ")</f>
        <v>153</v>
      </c>
      <c r="O120" s="30" t="str">
        <f>"Household -- Masks"</f>
        <v>Household -- Masks</v>
      </c>
      <c r="P120" s="30" t="str">
        <f>"12 masks"</f>
        <v>12 masks</v>
      </c>
      <c r="Q120" s="30" t="str">
        <f>"CASE"</f>
        <v>CASE</v>
      </c>
      <c r="R120" s="30" t="str">
        <f>"DRY"</f>
        <v>DRY</v>
      </c>
      <c r="S120" s="30" t="str">
        <f>"DON"</f>
        <v>DON</v>
      </c>
      <c r="T120" s="30">
        <v>3</v>
      </c>
      <c r="U120" s="44">
        <v>0</v>
      </c>
      <c r="V120" s="36">
        <f>IFERROR($U120*$J120," ")</f>
        <v>0</v>
      </c>
    </row>
    <row r="121" spans="1:22" ht="27.75" customHeight="1" x14ac:dyDescent="0.3">
      <c r="A121" t="s">
        <v>45</v>
      </c>
      <c r="B121" t="str">
        <f t="shared" si="19"/>
        <v/>
      </c>
      <c r="F121" s="1" t="str">
        <f>F120</f>
        <v>12</v>
      </c>
      <c r="G121" s="3"/>
      <c r="H121" s="4" t="str">
        <f>"""Ceres 5 "",""SHNLFB - Duluth - LIVE"",""27"",""1"",""12059"""</f>
        <v>"Ceres 5 ","SHNLFB - Duluth - LIVE","27","1","12059"</v>
      </c>
      <c r="I121" s="30" t="str">
        <f>"12059"</f>
        <v>12059</v>
      </c>
      <c r="J121" s="31"/>
      <c r="K121" s="32">
        <v>3</v>
      </c>
      <c r="L121" s="33">
        <v>0</v>
      </c>
      <c r="M121" s="33">
        <v>0</v>
      </c>
      <c r="N121" s="34">
        <f>IFERROR(K121-L121-M121," ")</f>
        <v>3</v>
      </c>
      <c r="O121" s="30" t="str">
        <f>"HW-Health/Beauty - Shampoo"</f>
        <v>HW-Health/Beauty - Shampoo</v>
      </c>
      <c r="P121" s="30" t="str">
        <f>"12-12 oz"</f>
        <v>12-12 oz</v>
      </c>
      <c r="Q121" s="30" t="str">
        <f>"CASE"</f>
        <v>CASE</v>
      </c>
      <c r="R121" s="30" t="str">
        <f>"DRY"</f>
        <v>DRY</v>
      </c>
      <c r="S121" s="30" t="str">
        <f>"BBPUR"</f>
        <v>BBPUR</v>
      </c>
      <c r="T121" s="30">
        <v>10.75</v>
      </c>
      <c r="U121" s="44">
        <v>10.2585</v>
      </c>
      <c r="V121" s="36">
        <f>IFERROR($U121*$J121," ")</f>
        <v>0</v>
      </c>
    </row>
    <row r="122" spans="1:22" ht="27.75" customHeight="1" x14ac:dyDescent="0.3">
      <c r="A122" t="s">
        <v>45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27.75" customHeight="1" x14ac:dyDescent="0.3">
      <c r="A123" t="s">
        <v>45</v>
      </c>
      <c r="F123" s="1" t="str">
        <f>G123</f>
        <v>13</v>
      </c>
      <c r="G123" s="3" t="str">
        <f>"13"</f>
        <v>13</v>
      </c>
      <c r="H123" s="4"/>
      <c r="I123" s="30"/>
      <c r="J123" s="21" t="str">
        <f>"Household Cleaning Product: Detergent, Cleanser, Bleach, Fabric Softener"</f>
        <v>Household Cleaning Product: Detergent, Cleanser, Bleach, Fabric Softener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27.75" customHeight="1" x14ac:dyDescent="0.3">
      <c r="A124" t="s">
        <v>45</v>
      </c>
      <c r="B124" t="str">
        <f t="shared" ref="B124" si="20">IF(N124=0,"hide","")</f>
        <v/>
      </c>
      <c r="F124" s="1" t="str">
        <f>F123</f>
        <v>13</v>
      </c>
      <c r="G124" s="3"/>
      <c r="H124" s="4" t="str">
        <f>"""Ceres 5 "",""SHNLFB - Duluth - LIVE"",""27"",""1"",""13413"""</f>
        <v>"Ceres 5 ","SHNLFB - Duluth - LIVE","27","1","13413"</v>
      </c>
      <c r="I124" s="30" t="str">
        <f>"13413"</f>
        <v>13413</v>
      </c>
      <c r="J124" s="31"/>
      <c r="K124" s="32">
        <v>7</v>
      </c>
      <c r="L124" s="33">
        <v>0</v>
      </c>
      <c r="M124" s="33">
        <v>0</v>
      </c>
      <c r="N124" s="34">
        <f>IFERROR(K124-L124-M124," ")</f>
        <v>7</v>
      </c>
      <c r="O124" s="30" t="str">
        <f>"Disinfecting Spray"</f>
        <v>Disinfecting Spray</v>
      </c>
      <c r="P124" s="30" t="str">
        <f>"5 gal jug"</f>
        <v>5 gal jug</v>
      </c>
      <c r="Q124" s="30" t="str">
        <f>"JUG"</f>
        <v>JUG</v>
      </c>
      <c r="R124" s="30" t="str">
        <f>"DRY"</f>
        <v>DRY</v>
      </c>
      <c r="S124" s="30" t="str">
        <f>"DON"</f>
        <v>DON</v>
      </c>
      <c r="T124" s="30">
        <v>45</v>
      </c>
      <c r="U124" s="44">
        <v>0</v>
      </c>
      <c r="V124" s="36">
        <f>IFERROR($U124*$J124," ")</f>
        <v>0</v>
      </c>
    </row>
    <row r="125" spans="1:22" ht="27.75" customHeight="1" x14ac:dyDescent="0.3">
      <c r="A125" t="s">
        <v>45</v>
      </c>
      <c r="B125" t="str">
        <f t="shared" ref="B125:B129" si="21">IF(N125=0,"hide","")</f>
        <v/>
      </c>
      <c r="F125" s="1" t="str">
        <f>F124</f>
        <v>13</v>
      </c>
      <c r="G125" s="3"/>
      <c r="H125" s="4" t="str">
        <f>"""Ceres 5 "",""SHNLFB - Duluth - LIVE"",""27"",""1"",""13361"""</f>
        <v>"Ceres 5 ","SHNLFB - Duluth - LIVE","27","1","13361"</v>
      </c>
      <c r="I125" s="30" t="str">
        <f>"13361"</f>
        <v>13361</v>
      </c>
      <c r="J125" s="31"/>
      <c r="K125" s="32">
        <v>40</v>
      </c>
      <c r="L125" s="33">
        <v>0</v>
      </c>
      <c r="M125" s="33">
        <v>0</v>
      </c>
      <c r="N125" s="34">
        <f>IFERROR(K125-L125-M125," ")</f>
        <v>40</v>
      </c>
      <c r="O125" s="30" t="str">
        <f>"Household - Hand Sanitizer"</f>
        <v>Household - Hand Sanitizer</v>
      </c>
      <c r="P125" s="30" t="str">
        <f>"6 - 1 gal"</f>
        <v>6 - 1 gal</v>
      </c>
      <c r="Q125" s="30" t="str">
        <f>"BOTTLEPLAS"</f>
        <v>BOTTLEPLAS</v>
      </c>
      <c r="R125" s="30" t="str">
        <f>"DRY"</f>
        <v>DRY</v>
      </c>
      <c r="S125" s="30" t="str">
        <f>"DON"</f>
        <v>DON</v>
      </c>
      <c r="T125" s="30">
        <v>48</v>
      </c>
      <c r="U125" s="44">
        <v>0</v>
      </c>
      <c r="V125" s="36">
        <f>IFERROR($U125*$J125," ")</f>
        <v>0</v>
      </c>
    </row>
    <row r="126" spans="1:22" ht="27.75" customHeight="1" x14ac:dyDescent="0.3">
      <c r="A126" t="s">
        <v>45</v>
      </c>
      <c r="B126" t="str">
        <f t="shared" si="21"/>
        <v/>
      </c>
      <c r="F126" s="1" t="str">
        <f>F125</f>
        <v>13</v>
      </c>
      <c r="G126" s="3"/>
      <c r="H126" s="4" t="str">
        <f>"""Ceres 5 "",""SHNLFB - Duluth - LIVE"",""27"",""1"",""11846"""</f>
        <v>"Ceres 5 ","SHNLFB - Duluth - LIVE","27","1","11846"</v>
      </c>
      <c r="I126" s="30" t="str">
        <f>"11846"</f>
        <v>11846</v>
      </c>
      <c r="J126" s="31"/>
      <c r="K126" s="32">
        <v>10</v>
      </c>
      <c r="L126" s="33">
        <v>1</v>
      </c>
      <c r="M126" s="33">
        <v>0</v>
      </c>
      <c r="N126" s="34">
        <f>IFERROR(K126-L126-M126," ")</f>
        <v>9</v>
      </c>
      <c r="O126" s="30" t="str">
        <f>"Household Cleaning - Laundry Detergent, Dry"</f>
        <v>Household Cleaning - Laundry Detergent, Dry</v>
      </c>
      <c r="P126" s="30" t="str">
        <f>"2 - 169 oz"</f>
        <v>2 - 169 oz</v>
      </c>
      <c r="Q126" s="30" t="str">
        <f>"CASE"</f>
        <v>CASE</v>
      </c>
      <c r="R126" s="30" t="str">
        <f>"DRY"</f>
        <v>DRY</v>
      </c>
      <c r="S126" s="30" t="str">
        <f>"DON"</f>
        <v>DON</v>
      </c>
      <c r="T126" s="30">
        <v>23</v>
      </c>
      <c r="U126" s="44">
        <v>4.37</v>
      </c>
      <c r="V126" s="36">
        <f>IFERROR($U126*$J126," ")</f>
        <v>0</v>
      </c>
    </row>
    <row r="127" spans="1:22" ht="27.75" customHeight="1" x14ac:dyDescent="0.3">
      <c r="A127" t="s">
        <v>45</v>
      </c>
      <c r="B127" t="str">
        <f t="shared" si="21"/>
        <v/>
      </c>
      <c r="F127" s="1" t="str">
        <f>F126</f>
        <v>13</v>
      </c>
      <c r="G127" s="3"/>
      <c r="H127" s="4" t="str">
        <f>"""Ceres 5 "",""SHNLFB - Duluth - LIVE"",""27"",""1"",""11253"""</f>
        <v>"Ceres 5 ","SHNLFB - Duluth - LIVE","27","1","11253"</v>
      </c>
      <c r="I127" s="30" t="str">
        <f>"11253"</f>
        <v>11253</v>
      </c>
      <c r="J127" s="31"/>
      <c r="K127" s="32">
        <v>31</v>
      </c>
      <c r="L127" s="33">
        <v>0</v>
      </c>
      <c r="M127" s="33">
        <v>0</v>
      </c>
      <c r="N127" s="34">
        <f>IFERROR(K127-L127-M127," ")</f>
        <v>31</v>
      </c>
      <c r="O127" s="30" t="str">
        <f>"Household Cleaning - Oven &amp; Grill Cleaner"</f>
        <v>Household Cleaning - Oven &amp; Grill Cleaner</v>
      </c>
      <c r="P127" s="30" t="str">
        <f>"6 - 20 oz"</f>
        <v>6 - 20 oz</v>
      </c>
      <c r="Q127" s="30" t="str">
        <f>"CASE"</f>
        <v>CASE</v>
      </c>
      <c r="R127" s="30" t="str">
        <f>"DRY"</f>
        <v>DRY</v>
      </c>
      <c r="S127" s="30" t="str">
        <f>"DON"</f>
        <v>DON</v>
      </c>
      <c r="T127" s="30">
        <v>11</v>
      </c>
      <c r="U127" s="44">
        <v>0</v>
      </c>
      <c r="V127" s="36">
        <f>IFERROR($U127*$J127," ")</f>
        <v>0</v>
      </c>
    </row>
    <row r="128" spans="1:22" ht="27.75" customHeight="1" x14ac:dyDescent="0.3">
      <c r="A128" t="s">
        <v>45</v>
      </c>
      <c r="B128" t="str">
        <f t="shared" si="21"/>
        <v/>
      </c>
      <c r="F128" s="1" t="str">
        <f>F127</f>
        <v>13</v>
      </c>
      <c r="G128" s="3"/>
      <c r="H128" s="4" t="str">
        <f>"""Ceres 5 "",""SHNLFB - Duluth - LIVE"",""27"",""1"",""10245"""</f>
        <v>"Ceres 5 ","SHNLFB - Duluth - LIVE","27","1","10245"</v>
      </c>
      <c r="I128" s="30" t="str">
        <f>"10245"</f>
        <v>10245</v>
      </c>
      <c r="J128" s="31"/>
      <c r="K128" s="32">
        <v>102</v>
      </c>
      <c r="L128" s="33">
        <v>37</v>
      </c>
      <c r="M128" s="33">
        <v>0</v>
      </c>
      <c r="N128" s="34">
        <f>IFERROR(K128-L128-M128," ")</f>
        <v>65</v>
      </c>
      <c r="O128" s="30" t="str">
        <f>"HW-Household - Dish Washing Soap"</f>
        <v>HW-Household - Dish Washing Soap</v>
      </c>
      <c r="P128" s="30" t="str">
        <f>"12-25 oz"</f>
        <v>12-25 oz</v>
      </c>
      <c r="Q128" s="30" t="str">
        <f>"CASE"</f>
        <v>CASE</v>
      </c>
      <c r="R128" s="30" t="str">
        <f>"DRY"</f>
        <v>DRY</v>
      </c>
      <c r="S128" s="30" t="str">
        <f>"BBPUR"</f>
        <v>BBPUR</v>
      </c>
      <c r="T128" s="30">
        <v>23</v>
      </c>
      <c r="U128" s="44">
        <v>10.29</v>
      </c>
      <c r="V128" s="36">
        <f>IFERROR($U128*$J128," ")</f>
        <v>0</v>
      </c>
    </row>
    <row r="129" spans="1:22" ht="27.75" customHeight="1" x14ac:dyDescent="0.3">
      <c r="A129" t="s">
        <v>45</v>
      </c>
      <c r="B129" t="str">
        <f t="shared" si="21"/>
        <v/>
      </c>
      <c r="F129" s="1" t="str">
        <f>F128</f>
        <v>13</v>
      </c>
      <c r="G129" s="3"/>
      <c r="H129" s="4" t="str">
        <f>"""Ceres 5 "",""SHNLFB - Duluth - LIVE"",""27"",""1"",""11078"""</f>
        <v>"Ceres 5 ","SHNLFB - Duluth - LIVE","27","1","11078"</v>
      </c>
      <c r="I129" s="30" t="str">
        <f>"11078"</f>
        <v>11078</v>
      </c>
      <c r="J129" s="31"/>
      <c r="K129" s="32">
        <v>58</v>
      </c>
      <c r="L129" s="33">
        <v>35</v>
      </c>
      <c r="M129" s="33">
        <v>0</v>
      </c>
      <c r="N129" s="34">
        <f>IFERROR(K129-L129-M129," ")</f>
        <v>23</v>
      </c>
      <c r="O129" s="30" t="str">
        <f>"HW-Household Cleaning - Laundry Detergent"</f>
        <v>HW-Household Cleaning - Laundry Detergent</v>
      </c>
      <c r="P129" s="30" t="str">
        <f>"12-32 oz"</f>
        <v>12-32 oz</v>
      </c>
      <c r="Q129" s="30" t="str">
        <f>"CASE"</f>
        <v>CASE</v>
      </c>
      <c r="R129" s="30" t="str">
        <f>"DRY"</f>
        <v>DRY</v>
      </c>
      <c r="S129" s="30" t="str">
        <f>"BBPUR"</f>
        <v>BBPUR</v>
      </c>
      <c r="T129" s="30">
        <v>29</v>
      </c>
      <c r="U129" s="44">
        <v>13.734</v>
      </c>
      <c r="V129" s="36">
        <f>IFERROR($U129*$J129," ")</f>
        <v>0</v>
      </c>
    </row>
    <row r="130" spans="1:22" ht="27.75" customHeight="1" x14ac:dyDescent="0.3">
      <c r="A130" t="s">
        <v>45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27.75" customHeight="1" x14ac:dyDescent="0.3">
      <c r="A131" t="s">
        <v>45</v>
      </c>
      <c r="F131" s="1" t="str">
        <f>G131</f>
        <v>15</v>
      </c>
      <c r="G131" s="3" t="str">
        <f>"15"</f>
        <v>15</v>
      </c>
      <c r="H131" s="4"/>
      <c r="I131" s="30"/>
      <c r="J131" s="21" t="str">
        <f>"Meat/Fish/Poultry"</f>
        <v>Meat/Fish/Poultry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27.75" customHeight="1" x14ac:dyDescent="0.3">
      <c r="A132" t="s">
        <v>45</v>
      </c>
      <c r="B132" t="str">
        <f t="shared" ref="B132" si="22">IF(N132=0,"hide","")</f>
        <v/>
      </c>
      <c r="F132" s="1" t="str">
        <f>F131</f>
        <v>15</v>
      </c>
      <c r="G132" s="3"/>
      <c r="H132" s="4" t="str">
        <f>"""Ceres 5 "",""SHNLFB - Duluth - LIVE"",""27"",""1"",""13553"""</f>
        <v>"Ceres 5 ","SHNLFB - Duluth - LIVE","27","1","13553"</v>
      </c>
      <c r="I132" s="30" t="str">
        <f>"13553"</f>
        <v>13553</v>
      </c>
      <c r="J132" s="31"/>
      <c r="K132" s="32">
        <v>116</v>
      </c>
      <c r="L132" s="33">
        <v>8</v>
      </c>
      <c r="M132" s="33">
        <v>0</v>
      </c>
      <c r="N132" s="34">
        <f>IFERROR(K132-L132-M132," ")</f>
        <v>108</v>
      </c>
      <c r="O132" s="30" t="str">
        <f>"HW-Meat - Ground Beef/Pork "</f>
        <v xml:space="preserve">HW-Meat - Ground Beef/Pork </v>
      </c>
      <c r="P132" s="30" t="str">
        <f>"12 - 1 lb."</f>
        <v>12 - 1 lb.</v>
      </c>
      <c r="Q132" s="30" t="str">
        <f>"CASE"</f>
        <v>CASE</v>
      </c>
      <c r="R132" s="30" t="str">
        <f>"FROZEN"</f>
        <v>FROZEN</v>
      </c>
      <c r="S132" s="30" t="str">
        <f>"BBPUR"</f>
        <v>BBPUR</v>
      </c>
      <c r="T132" s="30">
        <v>13</v>
      </c>
      <c r="U132" s="44">
        <v>31.5</v>
      </c>
      <c r="V132" s="36">
        <f>IFERROR($U132*$J132," ")</f>
        <v>0</v>
      </c>
    </row>
    <row r="133" spans="1:22" ht="27.75" customHeight="1" x14ac:dyDescent="0.3">
      <c r="A133" t="s">
        <v>45</v>
      </c>
      <c r="B133" t="str">
        <f t="shared" ref="B133:B135" si="23">IF(N133=0,"hide","")</f>
        <v/>
      </c>
      <c r="F133" s="1" t="str">
        <f>F132</f>
        <v>15</v>
      </c>
      <c r="G133" s="3"/>
      <c r="H133" s="4" t="str">
        <f>"""Ceres 5 "",""SHNLFB - Duluth - LIVE"",""27"",""1"",""13606"""</f>
        <v>"Ceres 5 ","SHNLFB - Duluth - LIVE","27","1","13606"</v>
      </c>
      <c r="I133" s="30" t="str">
        <f>"13606"</f>
        <v>13606</v>
      </c>
      <c r="J133" s="31"/>
      <c r="K133" s="32">
        <v>236</v>
      </c>
      <c r="L133" s="33">
        <v>11</v>
      </c>
      <c r="M133" s="33">
        <v>0</v>
      </c>
      <c r="N133" s="34">
        <f>IFERROR(K133-L133-M133," ")</f>
        <v>225</v>
      </c>
      <c r="O133" s="30" t="str">
        <f>"HW-Meat - Tuna"</f>
        <v>HW-Meat - Tuna</v>
      </c>
      <c r="P133" s="30" t="str">
        <f>"24 - 2.6 oz pouches"</f>
        <v>24 - 2.6 oz pouches</v>
      </c>
      <c r="Q133" s="30" t="str">
        <f>"ASP POUCH"</f>
        <v>ASP POUCH</v>
      </c>
      <c r="R133" s="30" t="str">
        <f>"DRY"</f>
        <v>DRY</v>
      </c>
      <c r="S133" s="30" t="str">
        <f>"BBPUR"</f>
        <v>BBPUR</v>
      </c>
      <c r="T133" s="30">
        <v>5</v>
      </c>
      <c r="U133" s="44">
        <v>19.015499999999999</v>
      </c>
      <c r="V133" s="36">
        <f>IFERROR($U133*$J133," ")</f>
        <v>0</v>
      </c>
    </row>
    <row r="134" spans="1:22" ht="27.75" customHeight="1" x14ac:dyDescent="0.3">
      <c r="A134" t="s">
        <v>45</v>
      </c>
      <c r="B134" t="str">
        <f t="shared" si="23"/>
        <v/>
      </c>
      <c r="F134" s="1" t="str">
        <f>F133</f>
        <v>15</v>
      </c>
      <c r="G134" s="3"/>
      <c r="H134" s="4" t="str">
        <f>"""Ceres 5 "",""SHNLFB - Duluth - LIVE"",""27"",""1"",""10276"""</f>
        <v>"Ceres 5 ","SHNLFB - Duluth - LIVE","27","1","10276"</v>
      </c>
      <c r="I134" s="30" t="str">
        <f>"10276"</f>
        <v>10276</v>
      </c>
      <c r="J134" s="31"/>
      <c r="K134" s="32">
        <v>96</v>
      </c>
      <c r="L134" s="33">
        <v>13</v>
      </c>
      <c r="M134" s="33">
        <v>0</v>
      </c>
      <c r="N134" s="34">
        <f>IFERROR(K134-L134-M134," ")</f>
        <v>83</v>
      </c>
      <c r="O134" s="30" t="str">
        <f>"HW-Meat - Tuna, Chnk Lt In Water"</f>
        <v>HW-Meat - Tuna, Chnk Lt In Water</v>
      </c>
      <c r="P134" s="30" t="str">
        <f>"48-5 oz"</f>
        <v>48-5 oz</v>
      </c>
      <c r="Q134" s="30" t="str">
        <f>"CASE"</f>
        <v>CASE</v>
      </c>
      <c r="R134" s="30" t="str">
        <f>"DRY"</f>
        <v>DRY</v>
      </c>
      <c r="S134" s="30" t="str">
        <f>"BBPUR"</f>
        <v>BBPUR</v>
      </c>
      <c r="T134" s="30">
        <v>19</v>
      </c>
      <c r="U134" s="44">
        <v>24.297000000000001</v>
      </c>
      <c r="V134" s="36">
        <f>IFERROR($U134*$J134," ")</f>
        <v>0</v>
      </c>
    </row>
    <row r="135" spans="1:22" ht="27.75" customHeight="1" x14ac:dyDescent="0.3">
      <c r="A135" t="s">
        <v>45</v>
      </c>
      <c r="B135" t="str">
        <f t="shared" si="23"/>
        <v/>
      </c>
      <c r="F135" s="1" t="str">
        <f>F134</f>
        <v>15</v>
      </c>
      <c r="G135" s="3"/>
      <c r="H135" s="4" t="str">
        <f>"""Ceres 5 "",""SHNLFB - Duluth - LIVE"",""27"",""1"",""10606"""</f>
        <v>"Ceres 5 ","SHNLFB - Duluth - LIVE","27","1","10606"</v>
      </c>
      <c r="I135" s="30" t="str">
        <f>"10606"</f>
        <v>10606</v>
      </c>
      <c r="J135" s="31"/>
      <c r="K135" s="32">
        <v>40</v>
      </c>
      <c r="L135" s="33">
        <v>0</v>
      </c>
      <c r="M135" s="33">
        <v>0</v>
      </c>
      <c r="N135" s="34">
        <f>IFERROR(K135-L135-M135," ")</f>
        <v>40</v>
      </c>
      <c r="O135" s="30" t="str">
        <f>"Meat - Turkey Crumbles, Chorizo"</f>
        <v>Meat - Turkey Crumbles, Chorizo</v>
      </c>
      <c r="P135" s="30" t="str">
        <f>"8 - 5 lb bags"</f>
        <v>8 - 5 lb bags</v>
      </c>
      <c r="Q135" s="30" t="str">
        <f>"CASE"</f>
        <v>CASE</v>
      </c>
      <c r="R135" s="30" t="str">
        <f>"FROZEN"</f>
        <v>FROZEN</v>
      </c>
      <c r="S135" s="30" t="str">
        <f>"DON"</f>
        <v>DON</v>
      </c>
      <c r="T135" s="30">
        <v>42</v>
      </c>
      <c r="U135" s="44">
        <v>0</v>
      </c>
      <c r="V135" s="36">
        <f>IFERROR($U135*$J135," ")</f>
        <v>0</v>
      </c>
    </row>
    <row r="136" spans="1:22" ht="27.75" customHeight="1" x14ac:dyDescent="0.3">
      <c r="A136" t="s">
        <v>45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t="27.75" customHeight="1" x14ac:dyDescent="0.3">
      <c r="A137" t="s">
        <v>45</v>
      </c>
      <c r="F137" s="1" t="str">
        <f>G137</f>
        <v>16</v>
      </c>
      <c r="G137" s="3" t="str">
        <f>"16"</f>
        <v>16</v>
      </c>
      <c r="H137" s="4"/>
      <c r="I137" s="30"/>
      <c r="J137" s="21" t="str">
        <f>"Mixed and Assorted Food"</f>
        <v>Mixed and Assorted Food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27.75" customHeight="1" x14ac:dyDescent="0.3">
      <c r="A138" t="s">
        <v>45</v>
      </c>
      <c r="B138" t="str">
        <f t="shared" ref="B138" si="24">IF(N138=0,"hide","")</f>
        <v/>
      </c>
      <c r="F138" s="1" t="str">
        <f>F137</f>
        <v>16</v>
      </c>
      <c r="G138" s="3"/>
      <c r="H138" s="4" t="str">
        <f>"""Ceres 5 "",""SHNLFB - Duluth - LIVE"",""27"",""1"",""10016"""</f>
        <v>"Ceres 5 ","SHNLFB - Duluth - LIVE","27","1","10016"</v>
      </c>
      <c r="I138" s="30" t="str">
        <f>"10016"</f>
        <v>10016</v>
      </c>
      <c r="J138" s="31"/>
      <c r="K138" s="32">
        <v>10790</v>
      </c>
      <c r="L138" s="33">
        <v>2</v>
      </c>
      <c r="M138" s="33">
        <v>0</v>
      </c>
      <c r="N138" s="34">
        <f>IFERROR(K138-L138-M138," ")</f>
        <v>10788</v>
      </c>
      <c r="O138" s="30" t="str">
        <f>"Assorted Dry Pallet"</f>
        <v>Assorted Dry Pallet</v>
      </c>
      <c r="P138" s="30" t="str">
        <f>"1 Pallet"</f>
        <v>1 Pallet</v>
      </c>
      <c r="Q138" s="30" t="str">
        <f>"CONTAINER"</f>
        <v>CONTAINER</v>
      </c>
      <c r="R138" s="30" t="str">
        <f>"DRY"</f>
        <v>DRY</v>
      </c>
      <c r="S138" s="30" t="str">
        <f>"DON"</f>
        <v>DON</v>
      </c>
      <c r="T138" s="30">
        <v>1</v>
      </c>
      <c r="U138" s="44">
        <v>0.19</v>
      </c>
      <c r="V138" s="36">
        <f>IFERROR($U138*$J138," ")</f>
        <v>0</v>
      </c>
    </row>
    <row r="139" spans="1:22" ht="27.75" customHeight="1" x14ac:dyDescent="0.3">
      <c r="A139" t="s">
        <v>45</v>
      </c>
      <c r="B139" t="str">
        <f t="shared" ref="B139:B141" si="25">IF(N139=0,"hide","")</f>
        <v/>
      </c>
      <c r="F139" s="1" t="str">
        <f>F138</f>
        <v>16</v>
      </c>
      <c r="G139" s="3"/>
      <c r="H139" s="4" t="str">
        <f>"""Ceres 5 "",""SHNLFB - Duluth - LIVE"",""27"",""1"",""10015"""</f>
        <v>"Ceres 5 ","SHNLFB - Duluth - LIVE","27","1","10015"</v>
      </c>
      <c r="I139" s="30" t="str">
        <f>"10015"</f>
        <v>10015</v>
      </c>
      <c r="J139" s="31"/>
      <c r="K139" s="32">
        <v>2936</v>
      </c>
      <c r="L139" s="33">
        <v>1</v>
      </c>
      <c r="M139" s="33">
        <v>0</v>
      </c>
      <c r="N139" s="34">
        <f>IFERROR(K139-L139-M139," ")</f>
        <v>2935</v>
      </c>
      <c r="O139" s="30" t="str">
        <f>"Assorted Frozen Pallet"</f>
        <v>Assorted Frozen Pallet</v>
      </c>
      <c r="P139" s="30" t="str">
        <f>"1 Pallet"</f>
        <v>1 Pallet</v>
      </c>
      <c r="Q139" s="30" t="str">
        <f>"CONTAINER"</f>
        <v>CONTAINER</v>
      </c>
      <c r="R139" s="30" t="str">
        <f>"FROZEN"</f>
        <v>FROZEN</v>
      </c>
      <c r="S139" s="30" t="str">
        <f>"DON"</f>
        <v>DON</v>
      </c>
      <c r="T139" s="30">
        <v>1</v>
      </c>
      <c r="U139" s="44">
        <v>0</v>
      </c>
      <c r="V139" s="36">
        <f>IFERROR($U139*$J139," ")</f>
        <v>0</v>
      </c>
    </row>
    <row r="140" spans="1:22" ht="27.75" customHeight="1" x14ac:dyDescent="0.3">
      <c r="A140" t="s">
        <v>45</v>
      </c>
      <c r="B140" t="str">
        <f t="shared" si="25"/>
        <v/>
      </c>
      <c r="F140" s="1" t="str">
        <f>F139</f>
        <v>16</v>
      </c>
      <c r="G140" s="3"/>
      <c r="H140" s="4" t="str">
        <f>"""Ceres 5 "",""SHNLFB - Duluth - LIVE"",""27"",""1"",""10018"""</f>
        <v>"Ceres 5 ","SHNLFB - Duluth - LIVE","27","1","10018"</v>
      </c>
      <c r="I140" s="30" t="str">
        <f>"10018"</f>
        <v>10018</v>
      </c>
      <c r="J140" s="31"/>
      <c r="K140" s="32">
        <v>39</v>
      </c>
      <c r="L140" s="33">
        <v>14</v>
      </c>
      <c r="M140" s="33">
        <v>0</v>
      </c>
      <c r="N140" s="34">
        <f>IFERROR(K140-L140-M140," ")</f>
        <v>25</v>
      </c>
      <c r="O140" s="30" t="str">
        <f>"Assorted Pizza"</f>
        <v>Assorted Pizza</v>
      </c>
      <c r="P140" s="30" t="str">
        <f>"1 Pizza"</f>
        <v>1 Pizza</v>
      </c>
      <c r="Q140" s="30" t="str">
        <f>"CONTAINER"</f>
        <v>CONTAINER</v>
      </c>
      <c r="R140" s="30" t="str">
        <f>"FROZEN"</f>
        <v>FROZEN</v>
      </c>
      <c r="S140" s="30" t="str">
        <f>"DON"</f>
        <v>DON</v>
      </c>
      <c r="T140" s="30">
        <v>1</v>
      </c>
      <c r="U140" s="44">
        <v>0.19</v>
      </c>
      <c r="V140" s="36">
        <f>IFERROR($U140*$J140," ")</f>
        <v>0</v>
      </c>
    </row>
    <row r="141" spans="1:22" ht="27.75" customHeight="1" x14ac:dyDescent="0.3">
      <c r="A141" t="s">
        <v>45</v>
      </c>
      <c r="B141" t="str">
        <f t="shared" si="25"/>
        <v/>
      </c>
      <c r="F141" s="1" t="str">
        <f>F140</f>
        <v>16</v>
      </c>
      <c r="G141" s="3"/>
      <c r="H141" s="4" t="str">
        <f>"""Ceres 5 "",""SHNLFB - Duluth - LIVE"",""27"",""1"",""10019"""</f>
        <v>"Ceres 5 ","SHNLFB - Duluth - LIVE","27","1","10019"</v>
      </c>
      <c r="I141" s="30" t="str">
        <f>"10019"</f>
        <v>10019</v>
      </c>
      <c r="J141" s="31"/>
      <c r="K141" s="32">
        <v>905</v>
      </c>
      <c r="L141" s="33">
        <v>0</v>
      </c>
      <c r="M141" s="33">
        <v>0</v>
      </c>
      <c r="N141" s="34">
        <f>IFERROR(K141-L141-M141," ")</f>
        <v>905</v>
      </c>
      <c r="O141" s="30" t="str">
        <f>"Asst Prepared Pans (On-site Only)"</f>
        <v>Asst Prepared Pans (On-site Only)</v>
      </c>
      <c r="P141" s="30" t="str">
        <f>""</f>
        <v/>
      </c>
      <c r="Q141" s="30" t="str">
        <f>"CONTAINER"</f>
        <v>CONTAINER</v>
      </c>
      <c r="R141" s="30" t="str">
        <f>"FROZEN"</f>
        <v>FROZEN</v>
      </c>
      <c r="S141" s="30" t="str">
        <f>"DON"</f>
        <v>DON</v>
      </c>
      <c r="T141" s="30">
        <v>1</v>
      </c>
      <c r="U141" s="44">
        <v>0</v>
      </c>
      <c r="V141" s="36">
        <f>IFERROR($U141*$J141," ")</f>
        <v>0</v>
      </c>
    </row>
    <row r="142" spans="1:22" ht="27.75" customHeight="1" x14ac:dyDescent="0.3">
      <c r="A142" t="s">
        <v>45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t="27.75" customHeight="1" x14ac:dyDescent="0.3">
      <c r="A143" t="s">
        <v>45</v>
      </c>
      <c r="F143" s="1" t="str">
        <f>G143</f>
        <v>17</v>
      </c>
      <c r="G143" s="3" t="str">
        <f>"17"</f>
        <v>17</v>
      </c>
      <c r="H143" s="4"/>
      <c r="I143" s="30"/>
      <c r="J143" s="21" t="str">
        <f>"Non-Dairy Dairy Substitute"</f>
        <v>Non-Dairy Dairy Substitute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27.75" customHeight="1" x14ac:dyDescent="0.3">
      <c r="A144" t="s">
        <v>45</v>
      </c>
      <c r="B144" t="str">
        <f t="shared" ref="B144" si="26">IF(N144=0,"hide","")</f>
        <v/>
      </c>
      <c r="F144" s="1" t="str">
        <f>F143</f>
        <v>17</v>
      </c>
      <c r="G144" s="3"/>
      <c r="H144" s="4" t="str">
        <f>"""Ceres 5 "",""SHNLFB - Duluth - LIVE"",""27"",""1"",""13638"""</f>
        <v>"Ceres 5 ","SHNLFB - Duluth - LIVE","27","1","13638"</v>
      </c>
      <c r="I144" s="30" t="str">
        <f>"13638"</f>
        <v>13638</v>
      </c>
      <c r="J144" s="31"/>
      <c r="K144" s="32">
        <v>120.99999999999999</v>
      </c>
      <c r="L144" s="33">
        <v>5</v>
      </c>
      <c r="M144" s="33">
        <v>0</v>
      </c>
      <c r="N144" s="34">
        <f>IFERROR(K144-L144-M144," ")</f>
        <v>115.99999999999999</v>
      </c>
      <c r="O144" s="30" t="str">
        <f>"Condiment - Coffee Creamer, Non-Dairy"</f>
        <v>Condiment - Coffee Creamer, Non-Dairy</v>
      </c>
      <c r="P144" s="30" t="str">
        <f>"6 - 16 oz"</f>
        <v>6 - 16 oz</v>
      </c>
      <c r="Q144" s="30" t="str">
        <f>"CASE"</f>
        <v>CASE</v>
      </c>
      <c r="R144" s="30" t="str">
        <f>"DRY"</f>
        <v>DRY</v>
      </c>
      <c r="S144" s="30" t="str">
        <f>"DON"</f>
        <v>DON</v>
      </c>
      <c r="T144" s="30">
        <v>6</v>
      </c>
      <c r="U144" s="44">
        <v>0</v>
      </c>
      <c r="V144" s="36">
        <f>IFERROR($U144*$J144," ")</f>
        <v>0</v>
      </c>
    </row>
    <row r="145" spans="1:22" ht="27.75" customHeight="1" x14ac:dyDescent="0.3">
      <c r="A145" t="s">
        <v>45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t="27.75" customHeight="1" x14ac:dyDescent="0.3">
      <c r="A146" t="s">
        <v>45</v>
      </c>
      <c r="F146" s="1" t="str">
        <f>G146</f>
        <v>19</v>
      </c>
      <c r="G146" s="3" t="str">
        <f>"19"</f>
        <v>19</v>
      </c>
      <c r="H146" s="4"/>
      <c r="I146" s="30"/>
      <c r="J146" s="21" t="str">
        <f>"Paper Product -  Household: Plates, Napkins, Towels, Toilet Paper, Facial Tissue"</f>
        <v>Paper Product -  Household: Plates, Napkins, Towels, Toilet Paper, Facial Tissue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27.75" customHeight="1" x14ac:dyDescent="0.3">
      <c r="A147" t="s">
        <v>45</v>
      </c>
      <c r="B147" t="str">
        <f t="shared" ref="B147" si="27">IF(N147=0,"hide","")</f>
        <v/>
      </c>
      <c r="F147" s="1" t="str">
        <f>F146</f>
        <v>19</v>
      </c>
      <c r="G147" s="3"/>
      <c r="H147" s="4" t="str">
        <f>"""Ceres 5 "",""SHNLFB - Duluth - LIVE"",""27"",""1"",""13332"""</f>
        <v>"Ceres 5 ","SHNLFB - Duluth - LIVE","27","1","13332"</v>
      </c>
      <c r="I147" s="30" t="str">
        <f>"13332"</f>
        <v>13332</v>
      </c>
      <c r="J147" s="31"/>
      <c r="K147" s="32">
        <v>148</v>
      </c>
      <c r="L147" s="33">
        <v>35</v>
      </c>
      <c r="M147" s="33">
        <v>0</v>
      </c>
      <c r="N147" s="34">
        <f>IFERROR(K147-L147-M147," ")</f>
        <v>113</v>
      </c>
      <c r="O147" s="30" t="str">
        <f>"HW-Paper Product - Paper Towels"</f>
        <v>HW-Paper Product - Paper Towels</v>
      </c>
      <c r="P147" s="30" t="str">
        <f>"10 - 3 Roll"</f>
        <v>10 - 3 Roll</v>
      </c>
      <c r="Q147" s="30" t="str">
        <f>"CASE"</f>
        <v>CASE</v>
      </c>
      <c r="R147" s="30" t="str">
        <f>"DRY"</f>
        <v>DRY</v>
      </c>
      <c r="S147" s="30" t="str">
        <f>"BBPUR"</f>
        <v>BBPUR</v>
      </c>
      <c r="T147" s="30">
        <v>8</v>
      </c>
      <c r="U147" s="44">
        <v>15.036</v>
      </c>
      <c r="V147" s="36">
        <f>IFERROR($U147*$J147," ")</f>
        <v>0</v>
      </c>
    </row>
    <row r="148" spans="1:22" ht="27.75" customHeight="1" x14ac:dyDescent="0.3">
      <c r="A148" t="s">
        <v>45</v>
      </c>
      <c r="B148" t="str">
        <f t="shared" ref="B148" si="28">IF(N148=0,"hide","")</f>
        <v/>
      </c>
      <c r="F148" s="1" t="str">
        <f>F147</f>
        <v>19</v>
      </c>
      <c r="G148" s="3"/>
      <c r="H148" s="4" t="str">
        <f>"""Ceres 5 "",""SHNLFB - Duluth - LIVE"",""27"",""1"",""11696"""</f>
        <v>"Ceres 5 ","SHNLFB - Duluth - LIVE","27","1","11696"</v>
      </c>
      <c r="I148" s="30" t="str">
        <f>"11696"</f>
        <v>11696</v>
      </c>
      <c r="J148" s="31"/>
      <c r="K148" s="32">
        <v>49</v>
      </c>
      <c r="L148" s="33">
        <v>35</v>
      </c>
      <c r="M148" s="33">
        <v>0</v>
      </c>
      <c r="N148" s="34">
        <f>IFERROR(K148-L148-M148," ")</f>
        <v>14</v>
      </c>
      <c r="O148" s="30" t="str">
        <f>"HW-Paper Product - Toilet Tissue"</f>
        <v>HW-Paper Product - Toilet Tissue</v>
      </c>
      <c r="P148" s="30" t="str">
        <f>"24-4 roll"</f>
        <v>24-4 roll</v>
      </c>
      <c r="Q148" s="30" t="str">
        <f>"CASE"</f>
        <v>CASE</v>
      </c>
      <c r="R148" s="30" t="str">
        <f>"DRY"</f>
        <v>DRY</v>
      </c>
      <c r="S148" s="30" t="str">
        <f>"BBPUR"</f>
        <v>BBPUR</v>
      </c>
      <c r="T148" s="30">
        <v>13</v>
      </c>
      <c r="U148" s="44">
        <v>17.157</v>
      </c>
      <c r="V148" s="36">
        <f>IFERROR($U148*$J148," ")</f>
        <v>0</v>
      </c>
    </row>
    <row r="149" spans="1:22" ht="27.75" customHeight="1" x14ac:dyDescent="0.3">
      <c r="A149" t="s">
        <v>45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27.75" customHeight="1" x14ac:dyDescent="0.3">
      <c r="A150" t="s">
        <v>45</v>
      </c>
      <c r="F150" s="1" t="str">
        <f>G150</f>
        <v>21</v>
      </c>
      <c r="G150" s="3" t="str">
        <f>"21"</f>
        <v>21</v>
      </c>
      <c r="H150" s="4"/>
      <c r="I150" s="30"/>
      <c r="J150" s="21" t="str">
        <f>"Pasta: Macaroni, Spaghetti, Noodles"</f>
        <v>Pasta: Macaroni, Spaghetti, Noodles</v>
      </c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27.75" customHeight="1" x14ac:dyDescent="0.3">
      <c r="A151" t="s">
        <v>45</v>
      </c>
      <c r="B151" t="str">
        <f t="shared" ref="B151" si="29">IF(N151=0,"hide","")</f>
        <v/>
      </c>
      <c r="F151" s="1" t="str">
        <f>F150</f>
        <v>21</v>
      </c>
      <c r="G151" s="3"/>
      <c r="H151" s="4" t="str">
        <f>"""Ceres 5 "",""SHNLFB - Duluth - LIVE"",""27"",""1"",""10660"""</f>
        <v>"Ceres 5 ","SHNLFB - Duluth - LIVE","27","1","10660"</v>
      </c>
      <c r="I151" s="30" t="str">
        <f>"10660"</f>
        <v>10660</v>
      </c>
      <c r="J151" s="31"/>
      <c r="K151" s="32">
        <v>50</v>
      </c>
      <c r="L151" s="33">
        <v>8</v>
      </c>
      <c r="M151" s="33">
        <v>0</v>
      </c>
      <c r="N151" s="34">
        <f>IFERROR(K151-L151-M151," ")</f>
        <v>42</v>
      </c>
      <c r="O151" s="30" t="str">
        <f>"HW-Pasta - Egg Noodles, Wide"</f>
        <v>HW-Pasta - Egg Noodles, Wide</v>
      </c>
      <c r="P151" s="30" t="str">
        <f>"12-12 oz"</f>
        <v>12-12 oz</v>
      </c>
      <c r="Q151" s="30" t="str">
        <f>"CASE"</f>
        <v>CASE</v>
      </c>
      <c r="R151" s="30" t="str">
        <f>"DRY"</f>
        <v>DRY</v>
      </c>
      <c r="S151" s="30" t="str">
        <f>"BBPUR"</f>
        <v>BBPUR</v>
      </c>
      <c r="T151" s="30">
        <v>10</v>
      </c>
      <c r="U151" s="44">
        <v>11.266500000000001</v>
      </c>
      <c r="V151" s="36">
        <f>IFERROR($U151*$J151," ")</f>
        <v>0</v>
      </c>
    </row>
    <row r="152" spans="1:22" ht="27.75" customHeight="1" x14ac:dyDescent="0.3">
      <c r="A152" t="s">
        <v>45</v>
      </c>
      <c r="B152" t="str">
        <f t="shared" ref="B152:B153" si="30">IF(N152=0,"hide","")</f>
        <v/>
      </c>
      <c r="F152" s="1" t="str">
        <f>F151</f>
        <v>21</v>
      </c>
      <c r="G152" s="3"/>
      <c r="H152" s="4" t="str">
        <f>"""Ceres 5 "",""SHNLFB - Duluth - LIVE"",""27"",""1"",""12081"""</f>
        <v>"Ceres 5 ","SHNLFB - Duluth - LIVE","27","1","12081"</v>
      </c>
      <c r="I152" s="30" t="str">
        <f>"12081"</f>
        <v>12081</v>
      </c>
      <c r="J152" s="31"/>
      <c r="K152" s="32">
        <v>113</v>
      </c>
      <c r="L152" s="33">
        <v>10</v>
      </c>
      <c r="M152" s="33">
        <v>0</v>
      </c>
      <c r="N152" s="34">
        <f>IFERROR(K152-L152-M152," ")</f>
        <v>103</v>
      </c>
      <c r="O152" s="30" t="str">
        <f>"HW-Pasta - Elbow Macaroni"</f>
        <v>HW-Pasta - Elbow Macaroni</v>
      </c>
      <c r="P152" s="30" t="str">
        <f>"20 - 16 oz"</f>
        <v>20 - 16 oz</v>
      </c>
      <c r="Q152" s="30" t="str">
        <f>"CASE"</f>
        <v>CASE</v>
      </c>
      <c r="R152" s="30" t="str">
        <f>"DRY"</f>
        <v>DRY</v>
      </c>
      <c r="S152" s="30" t="str">
        <f>"BBPUR"</f>
        <v>BBPUR</v>
      </c>
      <c r="T152" s="30">
        <v>23</v>
      </c>
      <c r="U152" s="44">
        <v>11.784717000000001</v>
      </c>
      <c r="V152" s="36">
        <f>IFERROR($U152*$J152," ")</f>
        <v>0</v>
      </c>
    </row>
    <row r="153" spans="1:22" ht="27.75" customHeight="1" x14ac:dyDescent="0.3">
      <c r="A153" t="s">
        <v>45</v>
      </c>
      <c r="B153" t="str">
        <f t="shared" si="30"/>
        <v/>
      </c>
      <c r="F153" s="1" t="str">
        <f>F152</f>
        <v>21</v>
      </c>
      <c r="G153" s="3"/>
      <c r="H153" s="4" t="str">
        <f>"""Ceres 5 "",""SHNLFB - Duluth - LIVE"",""27"",""1"",""10193"""</f>
        <v>"Ceres 5 ","SHNLFB - Duluth - LIVE","27","1","10193"</v>
      </c>
      <c r="I153" s="30" t="str">
        <f>"10193"</f>
        <v>10193</v>
      </c>
      <c r="J153" s="31"/>
      <c r="K153" s="32">
        <v>99</v>
      </c>
      <c r="L153" s="33">
        <v>23</v>
      </c>
      <c r="M153" s="33">
        <v>0</v>
      </c>
      <c r="N153" s="34">
        <f>IFERROR(K153-L153-M153," ")</f>
        <v>76</v>
      </c>
      <c r="O153" s="30" t="str">
        <f>"HW-Pasta - Spaghetti Noodles "</f>
        <v xml:space="preserve">HW-Pasta - Spaghetti Noodles </v>
      </c>
      <c r="P153" s="30" t="str">
        <f>"20-16 oz"</f>
        <v>20-16 oz</v>
      </c>
      <c r="Q153" s="30" t="str">
        <f>"CASE"</f>
        <v>CASE</v>
      </c>
      <c r="R153" s="30" t="str">
        <f>"DRY"</f>
        <v>DRY</v>
      </c>
      <c r="S153" s="30" t="str">
        <f>"BBPUR"</f>
        <v>BBPUR</v>
      </c>
      <c r="T153" s="30">
        <v>21</v>
      </c>
      <c r="U153" s="44">
        <v>12.474</v>
      </c>
      <c r="V153" s="36">
        <f>IFERROR($U153*$J153," ")</f>
        <v>0</v>
      </c>
    </row>
    <row r="154" spans="1:22" ht="27.75" customHeight="1" x14ac:dyDescent="0.3">
      <c r="A154" t="s">
        <v>45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t="27.75" customHeight="1" x14ac:dyDescent="0.3">
      <c r="A155" t="s">
        <v>45</v>
      </c>
      <c r="F155" s="1" t="str">
        <f>G155</f>
        <v>22</v>
      </c>
      <c r="G155" s="3" t="str">
        <f>"22"</f>
        <v>22</v>
      </c>
      <c r="H155" s="4"/>
      <c r="I155" s="30"/>
      <c r="J155" s="21" t="str">
        <f>"Pet Food/Pet Care"</f>
        <v>Pet Food/Pet Care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27.75" customHeight="1" x14ac:dyDescent="0.3">
      <c r="A156" t="s">
        <v>45</v>
      </c>
      <c r="B156" t="str">
        <f t="shared" ref="B156" si="31">IF(N156=0,"hide","")</f>
        <v/>
      </c>
      <c r="F156" s="1" t="str">
        <f>F155</f>
        <v>22</v>
      </c>
      <c r="G156" s="3"/>
      <c r="H156" s="4" t="str">
        <f>"""Ceres 5 "",""SHNLFB - Duluth - LIVE"",""27"",""1"",""12220"""</f>
        <v>"Ceres 5 ","SHNLFB - Duluth - LIVE","27","1","12220"</v>
      </c>
      <c r="I156" s="30" t="str">
        <f>"12220"</f>
        <v>12220</v>
      </c>
      <c r="J156" s="31"/>
      <c r="K156" s="32">
        <v>112</v>
      </c>
      <c r="L156" s="33">
        <v>8</v>
      </c>
      <c r="M156" s="33">
        <v>0</v>
      </c>
      <c r="N156" s="34">
        <f>IFERROR(K156-L156-M156," ")</f>
        <v>104</v>
      </c>
      <c r="O156" s="30" t="str">
        <f>"Non- Food - Dog Food (24 bags per pallet)"</f>
        <v>Non- Food - Dog Food (24 bags per pallet)</v>
      </c>
      <c r="P156" s="30" t="str">
        <f>"34 lb bag"</f>
        <v>34 lb bag</v>
      </c>
      <c r="Q156" s="30" t="str">
        <f>"CASE"</f>
        <v>CASE</v>
      </c>
      <c r="R156" s="30" t="str">
        <f>"DRY"</f>
        <v>DRY</v>
      </c>
      <c r="S156" s="30" t="str">
        <f>"DON"</f>
        <v>DON</v>
      </c>
      <c r="T156" s="30">
        <v>35</v>
      </c>
      <c r="U156" s="44">
        <v>0</v>
      </c>
      <c r="V156" s="36">
        <f>IFERROR($U156*$J156," ")</f>
        <v>0</v>
      </c>
    </row>
    <row r="157" spans="1:22" ht="27.75" customHeight="1" x14ac:dyDescent="0.3">
      <c r="A157" t="s">
        <v>45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t="27.75" customHeight="1" x14ac:dyDescent="0.3">
      <c r="A158" t="s">
        <v>45</v>
      </c>
      <c r="F158" s="1" t="str">
        <f>G158</f>
        <v>23</v>
      </c>
      <c r="G158" s="3" t="str">
        <f>"23"</f>
        <v>23</v>
      </c>
      <c r="H158" s="4"/>
      <c r="I158" s="30"/>
      <c r="J158" s="21" t="str">
        <f>"Protein - Non-Meat: Peanut Butter, Beans, Eggs, Pork &amp; Beans, Nuts"</f>
        <v>Protein - Non-Meat: Peanut Butter, Beans, Eggs, Pork &amp; Beans, Nuts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27.75" customHeight="1" x14ac:dyDescent="0.3">
      <c r="A159" t="s">
        <v>45</v>
      </c>
      <c r="B159" t="str">
        <f t="shared" ref="B159" si="32">IF(N159=0,"hide","")</f>
        <v/>
      </c>
      <c r="F159" s="1" t="str">
        <f>F158</f>
        <v>23</v>
      </c>
      <c r="G159" s="3"/>
      <c r="H159" s="4" t="str">
        <f>"""Ceres 5 "",""SHNLFB - Duluth - LIVE"",""27"",""1"",""10440"""</f>
        <v>"Ceres 5 ","SHNLFB - Duluth - LIVE","27","1","10440"</v>
      </c>
      <c r="I159" s="30" t="str">
        <f>"10440"</f>
        <v>10440</v>
      </c>
      <c r="J159" s="31"/>
      <c r="K159" s="32">
        <v>256</v>
      </c>
      <c r="L159" s="33">
        <v>58</v>
      </c>
      <c r="M159" s="33">
        <v>0</v>
      </c>
      <c r="N159" s="34">
        <f>IFERROR(K159-L159-M159," ")</f>
        <v>198</v>
      </c>
      <c r="O159" s="30" t="str">
        <f>"HW-Protein - Non Meat - Peanut Butter"</f>
        <v>HW-Protein - Non Meat - Peanut Butter</v>
      </c>
      <c r="P159" s="30" t="str">
        <f>"12-16 oz"</f>
        <v>12-16 oz</v>
      </c>
      <c r="Q159" s="30" t="str">
        <f>"CASE"</f>
        <v>CASE</v>
      </c>
      <c r="R159" s="30" t="str">
        <f>"DRY"</f>
        <v>DRY</v>
      </c>
      <c r="S159" s="30" t="str">
        <f>"BBPUR"</f>
        <v>BBPUR</v>
      </c>
      <c r="T159" s="30">
        <v>13</v>
      </c>
      <c r="U159" s="44">
        <v>20.033999999999999</v>
      </c>
      <c r="V159" s="36">
        <f>IFERROR($U159*$J159," ")</f>
        <v>0</v>
      </c>
    </row>
    <row r="160" spans="1:22" ht="27.75" customHeight="1" x14ac:dyDescent="0.3">
      <c r="A160" t="s">
        <v>45</v>
      </c>
      <c r="B160" t="str">
        <f t="shared" ref="B160:B161" si="33">IF(N160=0,"hide","")</f>
        <v/>
      </c>
      <c r="F160" s="1" t="str">
        <f>F159</f>
        <v>23</v>
      </c>
      <c r="G160" s="3"/>
      <c r="H160" s="4" t="str">
        <f>"""Ceres 5 "",""SHNLFB - Duluth - LIVE"",""27"",""1"",""11358"""</f>
        <v>"Ceres 5 ","SHNLFB - Duluth - LIVE","27","1","11358"</v>
      </c>
      <c r="I160" s="30" t="str">
        <f>"11358"</f>
        <v>11358</v>
      </c>
      <c r="J160" s="31"/>
      <c r="K160" s="32">
        <v>47</v>
      </c>
      <c r="L160" s="33">
        <v>10</v>
      </c>
      <c r="M160" s="33">
        <v>0</v>
      </c>
      <c r="N160" s="34">
        <f>IFERROR(K160-L160-M160," ")</f>
        <v>37</v>
      </c>
      <c r="O160" s="30" t="str">
        <f>"Protein - Peanuts"</f>
        <v>Protein - Peanuts</v>
      </c>
      <c r="P160" s="30" t="str">
        <f>"144 - 1 oz"</f>
        <v>144 - 1 oz</v>
      </c>
      <c r="Q160" s="30" t="str">
        <f>"CASE"</f>
        <v>CASE</v>
      </c>
      <c r="R160" s="30" t="str">
        <f>"DRY"</f>
        <v>DRY</v>
      </c>
      <c r="S160" s="30" t="str">
        <f>"DON"</f>
        <v>DON</v>
      </c>
      <c r="T160" s="30">
        <v>12</v>
      </c>
      <c r="U160" s="44">
        <v>2.2799999999999998</v>
      </c>
      <c r="V160" s="36">
        <f>IFERROR($U160*$J160," ")</f>
        <v>0</v>
      </c>
    </row>
    <row r="161" spans="1:22" ht="27.75" customHeight="1" x14ac:dyDescent="0.3">
      <c r="A161" t="s">
        <v>45</v>
      </c>
      <c r="B161" t="str">
        <f t="shared" si="33"/>
        <v/>
      </c>
      <c r="F161" s="1" t="str">
        <f>F160</f>
        <v>23</v>
      </c>
      <c r="G161" s="3"/>
      <c r="H161" s="4" t="str">
        <f>"""Ceres 5 "",""SHNLFB - Duluth - LIVE"",""27"",""1"",""13639"""</f>
        <v>"Ceres 5 ","SHNLFB - Duluth - LIVE","27","1","13639"</v>
      </c>
      <c r="I161" s="30" t="str">
        <f>"13639"</f>
        <v>13639</v>
      </c>
      <c r="J161" s="31"/>
      <c r="K161" s="32">
        <v>56</v>
      </c>
      <c r="L161" s="33">
        <v>2</v>
      </c>
      <c r="M161" s="33">
        <v>0</v>
      </c>
      <c r="N161" s="34">
        <f>IFERROR(K161-L161-M161," ")</f>
        <v>54</v>
      </c>
      <c r="O161" s="30" t="str">
        <f>"Protein - Split Pea, Yellow"</f>
        <v>Protein - Split Pea, Yellow</v>
      </c>
      <c r="P161" s="30" t="str">
        <f>"12 - 2 lb"</f>
        <v>12 - 2 lb</v>
      </c>
      <c r="Q161" s="30" t="str">
        <f>"BAG"</f>
        <v>BAG</v>
      </c>
      <c r="R161" s="30" t="str">
        <f>"DRY"</f>
        <v>DRY</v>
      </c>
      <c r="S161" s="30" t="str">
        <f>"DON"</f>
        <v>DON</v>
      </c>
      <c r="T161" s="30">
        <v>24</v>
      </c>
      <c r="U161" s="44">
        <v>0</v>
      </c>
      <c r="V161" s="36">
        <f>IFERROR($U161*$J161," ")</f>
        <v>0</v>
      </c>
    </row>
    <row r="162" spans="1:22" ht="27.75" customHeight="1" x14ac:dyDescent="0.3">
      <c r="A162" t="s">
        <v>45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t="27.75" customHeight="1" x14ac:dyDescent="0.3">
      <c r="A163" t="s">
        <v>45</v>
      </c>
      <c r="F163" s="1" t="str">
        <f>G163</f>
        <v>24</v>
      </c>
      <c r="G163" s="3" t="str">
        <f>"24"</f>
        <v>24</v>
      </c>
      <c r="H163" s="4"/>
      <c r="I163" s="30"/>
      <c r="J163" s="21" t="str">
        <f>"Rice"</f>
        <v>Rice</v>
      </c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27.75" customHeight="1" x14ac:dyDescent="0.3">
      <c r="A164" t="s">
        <v>45</v>
      </c>
      <c r="B164" t="str">
        <f t="shared" ref="B164" si="34">IF(N164=0,"hide","")</f>
        <v/>
      </c>
      <c r="F164" s="1" t="str">
        <f>F163</f>
        <v>24</v>
      </c>
      <c r="G164" s="3"/>
      <c r="H164" s="4" t="str">
        <f>"""Ceres 5 "",""SHNLFB - Duluth - LIVE"",""27"",""1"",""13634"""</f>
        <v>"Ceres 5 ","SHNLFB - Duluth - LIVE","27","1","13634"</v>
      </c>
      <c r="I164" s="30" t="str">
        <f>"13634"</f>
        <v>13634</v>
      </c>
      <c r="J164" s="31"/>
      <c r="K164" s="32">
        <v>48</v>
      </c>
      <c r="L164" s="33">
        <v>20</v>
      </c>
      <c r="M164" s="33">
        <v>0</v>
      </c>
      <c r="N164" s="34">
        <f>IFERROR(K164-L164-M164," ")</f>
        <v>28</v>
      </c>
      <c r="O164" s="30" t="str">
        <f>"HW-Rice - Rice, Jasmine"</f>
        <v>HW-Rice - Rice, Jasmine</v>
      </c>
      <c r="P164" s="30" t="str">
        <f>"12 - 16 oz"</f>
        <v>12 - 16 oz</v>
      </c>
      <c r="Q164" s="30" t="str">
        <f>"CASE"</f>
        <v>CASE</v>
      </c>
      <c r="R164" s="30" t="str">
        <f>"DRY"</f>
        <v>DRY</v>
      </c>
      <c r="S164" s="30" t="str">
        <f>"BBPUR"</f>
        <v>BBPUR</v>
      </c>
      <c r="T164" s="30">
        <v>13</v>
      </c>
      <c r="U164" s="44">
        <v>9.9855</v>
      </c>
      <c r="V164" s="36">
        <f>IFERROR($U164*$J164," ")</f>
        <v>0</v>
      </c>
    </row>
    <row r="165" spans="1:22" ht="27.75" customHeight="1" x14ac:dyDescent="0.3">
      <c r="A165" t="s">
        <v>45</v>
      </c>
      <c r="B165" t="str">
        <f t="shared" ref="B165" si="35">IF(N165=0,"hide","")</f>
        <v/>
      </c>
      <c r="F165" s="1" t="str">
        <f>F164</f>
        <v>24</v>
      </c>
      <c r="G165" s="3"/>
      <c r="H165" s="4" t="str">
        <f>"""Ceres 5 "",""SHNLFB - Duluth - LIVE"",""27"",""1"",""13383"""</f>
        <v>"Ceres 5 ","SHNLFB - Duluth - LIVE","27","1","13383"</v>
      </c>
      <c r="I165" s="30" t="str">
        <f>"13383"</f>
        <v>13383</v>
      </c>
      <c r="J165" s="31"/>
      <c r="K165" s="32">
        <v>32</v>
      </c>
      <c r="L165" s="33">
        <v>10</v>
      </c>
      <c r="M165" s="33">
        <v>0</v>
      </c>
      <c r="N165" s="34">
        <f>IFERROR(K165-L165-M165," ")</f>
        <v>22</v>
      </c>
      <c r="O165" s="30" t="str">
        <f>"HW-Rice - Wild Rice"</f>
        <v>HW-Rice - Wild Rice</v>
      </c>
      <c r="P165" s="30" t="str">
        <f>"12 - 16 oz"</f>
        <v>12 - 16 oz</v>
      </c>
      <c r="Q165" s="30" t="str">
        <f>"CASE"</f>
        <v>CASE</v>
      </c>
      <c r="R165" s="30" t="str">
        <f>"DRY"</f>
        <v>DRY</v>
      </c>
      <c r="S165" s="30" t="str">
        <f>"BBPUR"</f>
        <v>BBPUR</v>
      </c>
      <c r="T165" s="30">
        <v>12</v>
      </c>
      <c r="U165" s="44">
        <v>20.16</v>
      </c>
      <c r="V165" s="36">
        <f>IFERROR($U165*$J165," ")</f>
        <v>0</v>
      </c>
    </row>
    <row r="166" spans="1:22" ht="27.75" customHeight="1" x14ac:dyDescent="0.3">
      <c r="A166" t="s">
        <v>45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t="27.75" customHeight="1" x14ac:dyDescent="0.3">
      <c r="A167" t="s">
        <v>45</v>
      </c>
      <c r="F167" s="1" t="str">
        <f>G167</f>
        <v>25</v>
      </c>
      <c r="G167" s="3" t="str">
        <f>"25"</f>
        <v>25</v>
      </c>
      <c r="H167" s="4"/>
      <c r="I167" s="30"/>
      <c r="J167" s="21" t="str">
        <f>"Snack Food/Cookies: Candy, Crackers, Marshmallows"</f>
        <v>Snack Food/Cookies: Candy, Crackers, Marshmallows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27.75" customHeight="1" x14ac:dyDescent="0.3">
      <c r="A168" t="s">
        <v>45</v>
      </c>
      <c r="B168" t="str">
        <f t="shared" ref="B168" si="36">IF(N168=0,"hide","")</f>
        <v/>
      </c>
      <c r="F168" s="1" t="str">
        <f>F167</f>
        <v>25</v>
      </c>
      <c r="G168" s="3"/>
      <c r="H168" s="4" t="str">
        <f>"""Ceres 5 "",""SHNLFB - Duluth - LIVE"",""27"",""1"",""10882"""</f>
        <v>"Ceres 5 ","SHNLFB - Duluth - LIVE","27","1","10882"</v>
      </c>
      <c r="I168" s="30" t="str">
        <f>"10882"</f>
        <v>10882</v>
      </c>
      <c r="J168" s="31"/>
      <c r="K168" s="32">
        <v>216</v>
      </c>
      <c r="L168" s="33">
        <v>25</v>
      </c>
      <c r="M168" s="33">
        <v>0</v>
      </c>
      <c r="N168" s="34">
        <f>IFERROR(K168-L168-M168," ")</f>
        <v>191</v>
      </c>
      <c r="O168" s="30" t="str">
        <f>"Snack - Choc covered Honey Combs"</f>
        <v>Snack - Choc covered Honey Combs</v>
      </c>
      <c r="P168" s="30" t="str">
        <f>"6 - 6 oz bags"</f>
        <v>6 - 6 oz bags</v>
      </c>
      <c r="Q168" s="30" t="str">
        <f>"CASE"</f>
        <v>CASE</v>
      </c>
      <c r="R168" s="30" t="str">
        <f>"DRY"</f>
        <v>DRY</v>
      </c>
      <c r="S168" s="30" t="str">
        <f>"DON"</f>
        <v>DON</v>
      </c>
      <c r="T168" s="30">
        <v>3</v>
      </c>
      <c r="U168" s="44">
        <v>0.56999999999999995</v>
      </c>
      <c r="V168" s="36">
        <f>IFERROR($U168*$J168," ")</f>
        <v>0</v>
      </c>
    </row>
    <row r="169" spans="1:22" ht="27.75" customHeight="1" x14ac:dyDescent="0.3">
      <c r="A169" t="s">
        <v>45</v>
      </c>
      <c r="B169" t="str">
        <f t="shared" ref="B169:B177" si="37">IF(N169=0,"hide","")</f>
        <v/>
      </c>
      <c r="F169" s="1" t="str">
        <f>F168</f>
        <v>25</v>
      </c>
      <c r="G169" s="3"/>
      <c r="H169" s="4" t="str">
        <f>"""Ceres 5 "",""SHNLFB - Duluth - LIVE"",""27"",""1"",""10896"""</f>
        <v>"Ceres 5 ","SHNLFB - Duluth - LIVE","27","1","10896"</v>
      </c>
      <c r="I169" s="30" t="str">
        <f>"10896"</f>
        <v>10896</v>
      </c>
      <c r="J169" s="31"/>
      <c r="K169" s="32">
        <v>48</v>
      </c>
      <c r="L169" s="33">
        <v>10</v>
      </c>
      <c r="M169" s="33">
        <v>0</v>
      </c>
      <c r="N169" s="34">
        <f>IFERROR(K169-L169-M169," ")</f>
        <v>38</v>
      </c>
      <c r="O169" s="30" t="str">
        <f>"Snack - Cookies, Choc Chip"</f>
        <v>Snack - Cookies, Choc Chip</v>
      </c>
      <c r="P169" s="30" t="str">
        <f>"12 - 19.5 oz"</f>
        <v>12 - 19.5 oz</v>
      </c>
      <c r="Q169" s="30" t="str">
        <f>"CASE"</f>
        <v>CASE</v>
      </c>
      <c r="R169" s="30" t="str">
        <f>"DRY"</f>
        <v>DRY</v>
      </c>
      <c r="S169" s="30" t="str">
        <f>"DON"</f>
        <v>DON</v>
      </c>
      <c r="T169" s="30">
        <v>16</v>
      </c>
      <c r="U169" s="44">
        <v>3.04</v>
      </c>
      <c r="V169" s="36">
        <f>IFERROR($U169*$J169," ")</f>
        <v>0</v>
      </c>
    </row>
    <row r="170" spans="1:22" ht="27.75" customHeight="1" x14ac:dyDescent="0.3">
      <c r="A170" t="s">
        <v>45</v>
      </c>
      <c r="B170" t="str">
        <f t="shared" si="37"/>
        <v/>
      </c>
      <c r="F170" s="1" t="str">
        <f>F169</f>
        <v>25</v>
      </c>
      <c r="G170" s="3"/>
      <c r="H170" s="4" t="str">
        <f>"""Ceres 5 "",""SHNLFB - Duluth - LIVE"",""27"",""1"",""11514"""</f>
        <v>"Ceres 5 ","SHNLFB - Duluth - LIVE","27","1","11514"</v>
      </c>
      <c r="I170" s="30" t="str">
        <f>"11514"</f>
        <v>11514</v>
      </c>
      <c r="J170" s="31"/>
      <c r="K170" s="32">
        <v>320</v>
      </c>
      <c r="L170" s="33">
        <v>10</v>
      </c>
      <c r="M170" s="33">
        <v>0</v>
      </c>
      <c r="N170" s="34">
        <f>IFERROR(K170-L170-M170," ")</f>
        <v>310</v>
      </c>
      <c r="O170" s="30" t="str">
        <f>"Snack - Cookies, Choc covered PB"</f>
        <v>Snack - Cookies, Choc covered PB</v>
      </c>
      <c r="P170" s="30" t="str">
        <f>"12 - 6.5 oz"</f>
        <v>12 - 6.5 oz</v>
      </c>
      <c r="Q170" s="30" t="str">
        <f>"CASE"</f>
        <v>CASE</v>
      </c>
      <c r="R170" s="30" t="str">
        <f>"DRY"</f>
        <v>DRY</v>
      </c>
      <c r="S170" s="30" t="str">
        <f>"DON"</f>
        <v>DON</v>
      </c>
      <c r="T170" s="30">
        <v>7</v>
      </c>
      <c r="U170" s="44">
        <v>1.33</v>
      </c>
      <c r="V170" s="36">
        <f>IFERROR($U170*$J170," ")</f>
        <v>0</v>
      </c>
    </row>
    <row r="171" spans="1:22" ht="27.75" customHeight="1" x14ac:dyDescent="0.3">
      <c r="A171" t="s">
        <v>45</v>
      </c>
      <c r="B171" t="str">
        <f t="shared" si="37"/>
        <v/>
      </c>
      <c r="F171" s="1" t="str">
        <f>F170</f>
        <v>25</v>
      </c>
      <c r="G171" s="3"/>
      <c r="H171" s="4" t="str">
        <f>"""Ceres 5 "",""SHNLFB - Duluth - LIVE"",""27"",""1"",""11378"""</f>
        <v>"Ceres 5 ","SHNLFB - Duluth - LIVE","27","1","11378"</v>
      </c>
      <c r="I171" s="30" t="str">
        <f>"11378"</f>
        <v>11378</v>
      </c>
      <c r="J171" s="31"/>
      <c r="K171" s="32">
        <v>200</v>
      </c>
      <c r="L171" s="33">
        <v>10</v>
      </c>
      <c r="M171" s="33">
        <v>0</v>
      </c>
      <c r="N171" s="34">
        <f>IFERROR(K171-L171-M171," ")</f>
        <v>190</v>
      </c>
      <c r="O171" s="30" t="str">
        <f>"Snack - Cookies, Oatmeal w/PB Filling"</f>
        <v>Snack - Cookies, Oatmeal w/PB Filling</v>
      </c>
      <c r="P171" s="30" t="str">
        <f>"12 - 8 oz"</f>
        <v>12 - 8 oz</v>
      </c>
      <c r="Q171" s="30" t="str">
        <f>"CASE"</f>
        <v>CASE</v>
      </c>
      <c r="R171" s="30" t="str">
        <f>"DRY"</f>
        <v>DRY</v>
      </c>
      <c r="S171" s="30" t="str">
        <f>"DON"</f>
        <v>DON</v>
      </c>
      <c r="T171" s="30">
        <v>8</v>
      </c>
      <c r="U171" s="44">
        <v>1.52</v>
      </c>
      <c r="V171" s="36">
        <f>IFERROR($U171*$J171," ")</f>
        <v>0</v>
      </c>
    </row>
    <row r="172" spans="1:22" ht="27.75" customHeight="1" x14ac:dyDescent="0.3">
      <c r="A172" t="s">
        <v>45</v>
      </c>
      <c r="B172" t="str">
        <f t="shared" si="37"/>
        <v/>
      </c>
      <c r="F172" s="1" t="str">
        <f>F171</f>
        <v>25</v>
      </c>
      <c r="G172" s="3"/>
      <c r="H172" s="4" t="str">
        <f>"""Ceres 5 "",""SHNLFB - Duluth - LIVE"",""27"",""1"",""10952"""</f>
        <v>"Ceres 5 ","SHNLFB - Duluth - LIVE","27","1","10952"</v>
      </c>
      <c r="I172" s="30" t="str">
        <f>"10952"</f>
        <v>10952</v>
      </c>
      <c r="J172" s="31"/>
      <c r="K172" s="32">
        <v>120</v>
      </c>
      <c r="L172" s="33">
        <v>10</v>
      </c>
      <c r="M172" s="33">
        <v>0</v>
      </c>
      <c r="N172" s="34">
        <f>IFERROR(K172-L172-M172," ")</f>
        <v>110</v>
      </c>
      <c r="O172" s="30" t="str">
        <f>"Snack - Cookies, Sandwich"</f>
        <v>Snack - Cookies, Sandwich</v>
      </c>
      <c r="P172" s="30" t="str">
        <f>"12 - 14.3 oz."</f>
        <v>12 - 14.3 oz.</v>
      </c>
      <c r="Q172" s="30" t="str">
        <f>"CASE"</f>
        <v>CASE</v>
      </c>
      <c r="R172" s="30" t="str">
        <f>"DRY"</f>
        <v>DRY</v>
      </c>
      <c r="S172" s="30" t="str">
        <f>"DON"</f>
        <v>DON</v>
      </c>
      <c r="T172" s="30">
        <v>11</v>
      </c>
      <c r="U172" s="44">
        <v>0.44</v>
      </c>
      <c r="V172" s="36">
        <f>IFERROR($U172*$J172," ")</f>
        <v>0</v>
      </c>
    </row>
    <row r="173" spans="1:22" ht="27.75" customHeight="1" x14ac:dyDescent="0.3">
      <c r="A173" t="s">
        <v>45</v>
      </c>
      <c r="B173" t="str">
        <f t="shared" si="37"/>
        <v/>
      </c>
      <c r="F173" s="1" t="str">
        <f>F172</f>
        <v>25</v>
      </c>
      <c r="G173" s="3"/>
      <c r="H173" s="4" t="str">
        <f>"""Ceres 5 "",""SHNLFB - Duluth - LIVE"",""27"",""1"",""11639"""</f>
        <v>"Ceres 5 ","SHNLFB - Duluth - LIVE","27","1","11639"</v>
      </c>
      <c r="I173" s="30" t="str">
        <f>"11639"</f>
        <v>11639</v>
      </c>
      <c r="J173" s="31"/>
      <c r="K173" s="32">
        <v>48</v>
      </c>
      <c r="L173" s="33">
        <v>26</v>
      </c>
      <c r="M173" s="33">
        <v>0</v>
      </c>
      <c r="N173" s="34">
        <f>IFERROR(K173-L173-M173," ")</f>
        <v>22</v>
      </c>
      <c r="O173" s="30" t="str">
        <f>"Snack - Crackers"</f>
        <v>Snack - Crackers</v>
      </c>
      <c r="P173" s="30" t="str">
        <f>"12 - 8.8 oz"</f>
        <v>12 - 8.8 oz</v>
      </c>
      <c r="Q173" s="30" t="str">
        <f>"CASE"</f>
        <v>CASE</v>
      </c>
      <c r="R173" s="30" t="str">
        <f>"DRY"</f>
        <v>DRY</v>
      </c>
      <c r="S173" s="30" t="str">
        <f>"DON"</f>
        <v>DON</v>
      </c>
      <c r="T173" s="30">
        <v>8</v>
      </c>
      <c r="U173" s="44">
        <v>0</v>
      </c>
      <c r="V173" s="36">
        <f>IFERROR($U173*$J173," ")</f>
        <v>0</v>
      </c>
    </row>
    <row r="174" spans="1:22" ht="27.75" customHeight="1" x14ac:dyDescent="0.3">
      <c r="A174" t="s">
        <v>45</v>
      </c>
      <c r="B174" t="str">
        <f t="shared" si="37"/>
        <v/>
      </c>
      <c r="F174" s="1" t="str">
        <f>F173</f>
        <v>25</v>
      </c>
      <c r="G174" s="3"/>
      <c r="H174" s="4" t="str">
        <f>"""Ceres 5 "",""SHNLFB - Duluth - LIVE"",""27"",""1"",""10917"""</f>
        <v>"Ceres 5 ","SHNLFB - Duluth - LIVE","27","1","10917"</v>
      </c>
      <c r="I174" s="30" t="str">
        <f>"10917"</f>
        <v>10917</v>
      </c>
      <c r="J174" s="31"/>
      <c r="K174" s="32">
        <v>108</v>
      </c>
      <c r="L174" s="33">
        <v>12</v>
      </c>
      <c r="M174" s="33">
        <v>0</v>
      </c>
      <c r="N174" s="34">
        <f>IFERROR(K174-L174-M174," ")</f>
        <v>96</v>
      </c>
      <c r="O174" s="30" t="str">
        <f>"Snack - Crackers, Oyster"</f>
        <v>Snack - Crackers, Oyster</v>
      </c>
      <c r="P174" s="30" t="str">
        <f>"12 - 9 oz"</f>
        <v>12 - 9 oz</v>
      </c>
      <c r="Q174" s="30" t="str">
        <f>"CASE"</f>
        <v>CASE</v>
      </c>
      <c r="R174" s="30" t="str">
        <f>"DRY"</f>
        <v>DRY</v>
      </c>
      <c r="S174" s="30" t="str">
        <f>"DON"</f>
        <v>DON</v>
      </c>
      <c r="T174" s="30">
        <v>7</v>
      </c>
      <c r="U174" s="44">
        <v>0</v>
      </c>
      <c r="V174" s="36">
        <f>IFERROR($U174*$J174," ")</f>
        <v>0</v>
      </c>
    </row>
    <row r="175" spans="1:22" ht="27.75" customHeight="1" x14ac:dyDescent="0.3">
      <c r="A175" t="s">
        <v>45</v>
      </c>
      <c r="B175" t="str">
        <f t="shared" si="37"/>
        <v/>
      </c>
      <c r="F175" s="1" t="str">
        <f>F174</f>
        <v>25</v>
      </c>
      <c r="G175" s="3"/>
      <c r="H175" s="4" t="str">
        <f>"""Ceres 5 "",""SHNLFB - Duluth - LIVE"",""27"",""1"",""10599"""</f>
        <v>"Ceres 5 ","SHNLFB - Duluth - LIVE","27","1","10599"</v>
      </c>
      <c r="I175" s="30" t="str">
        <f>"10599"</f>
        <v>10599</v>
      </c>
      <c r="J175" s="31"/>
      <c r="K175" s="32">
        <v>9</v>
      </c>
      <c r="L175" s="33">
        <v>3</v>
      </c>
      <c r="M175" s="33">
        <v>0</v>
      </c>
      <c r="N175" s="34">
        <f>IFERROR(K175-L175-M175," ")</f>
        <v>6</v>
      </c>
      <c r="O175" s="30" t="str">
        <f>"Snack - Marshmallows"</f>
        <v>Snack - Marshmallows</v>
      </c>
      <c r="P175" s="30" t="str">
        <f>"18 - 12 oz"</f>
        <v>18 - 12 oz</v>
      </c>
      <c r="Q175" s="30" t="str">
        <f>"CASE"</f>
        <v>CASE</v>
      </c>
      <c r="R175" s="30" t="str">
        <f>"DRY"</f>
        <v>DRY</v>
      </c>
      <c r="S175" s="30" t="str">
        <f>"DON"</f>
        <v>DON</v>
      </c>
      <c r="T175" s="30">
        <v>16</v>
      </c>
      <c r="U175" s="44">
        <v>0</v>
      </c>
      <c r="V175" s="36">
        <f>IFERROR($U175*$J175," ")</f>
        <v>0</v>
      </c>
    </row>
    <row r="176" spans="1:22" ht="27.75" customHeight="1" x14ac:dyDescent="0.3">
      <c r="A176" t="s">
        <v>45</v>
      </c>
      <c r="B176" t="str">
        <f t="shared" si="37"/>
        <v/>
      </c>
      <c r="F176" s="1" t="str">
        <f>F175</f>
        <v>25</v>
      </c>
      <c r="G176" s="3"/>
      <c r="H176" s="4" t="str">
        <f>"""Ceres 5 "",""SHNLFB - Duluth - LIVE"",""27"",""1"",""11703"""</f>
        <v>"Ceres 5 ","SHNLFB - Duluth - LIVE","27","1","11703"</v>
      </c>
      <c r="I176" s="30" t="str">
        <f>"11703"</f>
        <v>11703</v>
      </c>
      <c r="J176" s="31"/>
      <c r="K176" s="32">
        <v>75</v>
      </c>
      <c r="L176" s="33">
        <v>71</v>
      </c>
      <c r="M176" s="33">
        <v>0</v>
      </c>
      <c r="N176" s="34">
        <f>IFERROR(K176-L176-M176," ")</f>
        <v>4</v>
      </c>
      <c r="O176" s="30" t="str">
        <f>"Snack - Rice Krispie Treats"</f>
        <v>Snack - Rice Krispie Treats</v>
      </c>
      <c r="P176" s="30" t="str">
        <f>"60 - .78 oz bars"</f>
        <v>60 - .78 oz bars</v>
      </c>
      <c r="Q176" s="30" t="str">
        <f>"CASE"</f>
        <v>CASE</v>
      </c>
      <c r="R176" s="30" t="str">
        <f>"DRY"</f>
        <v>DRY</v>
      </c>
      <c r="S176" s="30" t="str">
        <f>"DON"</f>
        <v>DON</v>
      </c>
      <c r="T176" s="30">
        <v>4</v>
      </c>
      <c r="U176" s="44">
        <v>0</v>
      </c>
      <c r="V176" s="36">
        <f>IFERROR($U176*$J176," ")</f>
        <v>0</v>
      </c>
    </row>
    <row r="177" spans="1:22" ht="27.75" customHeight="1" x14ac:dyDescent="0.3">
      <c r="A177" t="s">
        <v>45</v>
      </c>
      <c r="B177" t="str">
        <f t="shared" si="37"/>
        <v/>
      </c>
      <c r="F177" s="1" t="str">
        <f>F176</f>
        <v>25</v>
      </c>
      <c r="G177" s="3"/>
      <c r="H177" s="4" t="str">
        <f>"""Ceres 5 "",""SHNLFB - Duluth - LIVE"",""27"",""1"",""12027"""</f>
        <v>"Ceres 5 ","SHNLFB - Duluth - LIVE","27","1","12027"</v>
      </c>
      <c r="I177" s="30" t="str">
        <f>"12027"</f>
        <v>12027</v>
      </c>
      <c r="J177" s="31"/>
      <c r="K177" s="32">
        <v>202</v>
      </c>
      <c r="L177" s="33">
        <v>74</v>
      </c>
      <c r="M177" s="33">
        <v>0</v>
      </c>
      <c r="N177" s="34">
        <f>IFERROR(K177-L177-M177," ")</f>
        <v>128</v>
      </c>
      <c r="O177" s="30" t="str">
        <f>"Snack - Rice Krispie Treats"</f>
        <v>Snack - Rice Krispie Treats</v>
      </c>
      <c r="P177" s="30" t="str">
        <f>"40 - .78 oz bars"</f>
        <v>40 - .78 oz bars</v>
      </c>
      <c r="Q177" s="30" t="str">
        <f>"CASE"</f>
        <v>CASE</v>
      </c>
      <c r="R177" s="30" t="str">
        <f>"DRY"</f>
        <v>DRY</v>
      </c>
      <c r="S177" s="30" t="str">
        <f>"DON"</f>
        <v>DON</v>
      </c>
      <c r="T177" s="30">
        <v>3</v>
      </c>
      <c r="U177" s="44">
        <v>0</v>
      </c>
      <c r="V177" s="36">
        <f>IFERROR($U177*$J177," ")</f>
        <v>0</v>
      </c>
    </row>
    <row r="178" spans="1:22" ht="27.75" customHeight="1" x14ac:dyDescent="0.3">
      <c r="A178" t="s">
        <v>45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t="27.75" customHeight="1" x14ac:dyDescent="0.3">
      <c r="A179" t="s">
        <v>45</v>
      </c>
      <c r="F179" s="1" t="str">
        <f>G179</f>
        <v>26</v>
      </c>
      <c r="G179" s="3" t="str">
        <f>"26"</f>
        <v>26</v>
      </c>
      <c r="H179" s="4"/>
      <c r="I179" s="30"/>
      <c r="J179" s="21" t="str">
        <f>"Spice/Condiment/Sauce: Herbs, Salt, Sugar, Mixes, Vinegar, Extracts, Mustard, Syrup, Gravy, Jelly, Sauces, Salad Oil"</f>
        <v>Spice/Condiment/Sauce: Herbs, Salt, Sugar, Mixes, Vinegar, Extracts, Mustard, Syrup, Gravy, Jelly, Sauces, Salad Oil</v>
      </c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27.75" customHeight="1" x14ac:dyDescent="0.3">
      <c r="A180" t="s">
        <v>45</v>
      </c>
      <c r="B180" t="str">
        <f t="shared" ref="B180" si="38">IF(N180=0,"hide","")</f>
        <v/>
      </c>
      <c r="F180" s="1" t="str">
        <f>F179</f>
        <v>26</v>
      </c>
      <c r="G180" s="3"/>
      <c r="H180" s="4" t="str">
        <f>"""Ceres 5 "",""SHNLFB - Duluth - LIVE"",""27"",""1"",""12825"""</f>
        <v>"Ceres 5 ","SHNLFB - Duluth - LIVE","27","1","12825"</v>
      </c>
      <c r="I180" s="30" t="str">
        <f>"12825"</f>
        <v>12825</v>
      </c>
      <c r="J180" s="31"/>
      <c r="K180" s="32">
        <v>50</v>
      </c>
      <c r="L180" s="33">
        <v>15</v>
      </c>
      <c r="M180" s="33">
        <v>0</v>
      </c>
      <c r="N180" s="34">
        <f>IFERROR(K180-L180-M180," ")</f>
        <v>35</v>
      </c>
      <c r="O180" s="30" t="str">
        <f>"Baking - Frosting, Cream Cheese"</f>
        <v>Baking - Frosting, Cream Cheese</v>
      </c>
      <c r="P180" s="30" t="str">
        <f>"8 - 12 oz"</f>
        <v>8 - 12 oz</v>
      </c>
      <c r="Q180" s="30" t="str">
        <f>"CASE"</f>
        <v>CASE</v>
      </c>
      <c r="R180" s="30" t="str">
        <f>"DRY"</f>
        <v>DRY</v>
      </c>
      <c r="S180" s="30" t="str">
        <f>"DON"</f>
        <v>DON</v>
      </c>
      <c r="T180" s="30">
        <v>6</v>
      </c>
      <c r="U180" s="44">
        <v>0</v>
      </c>
      <c r="V180" s="36">
        <f>IFERROR($U180*$J180," ")</f>
        <v>0</v>
      </c>
    </row>
    <row r="181" spans="1:22" ht="27.75" customHeight="1" x14ac:dyDescent="0.3">
      <c r="A181" t="s">
        <v>45</v>
      </c>
      <c r="B181" t="str">
        <f t="shared" ref="B181:B205" si="39">IF(N181=0,"hide","")</f>
        <v/>
      </c>
      <c r="F181" s="1" t="str">
        <f>F180</f>
        <v>26</v>
      </c>
      <c r="G181" s="3"/>
      <c r="H181" s="4" t="str">
        <f>"""Ceres 5 "",""SHNLFB - Duluth - LIVE"",""27"",""1"",""11932"""</f>
        <v>"Ceres 5 ","SHNLFB - Duluth - LIVE","27","1","11932"</v>
      </c>
      <c r="I181" s="30" t="str">
        <f>"11932"</f>
        <v>11932</v>
      </c>
      <c r="J181" s="31"/>
      <c r="K181" s="32">
        <v>20</v>
      </c>
      <c r="L181" s="33">
        <v>2</v>
      </c>
      <c r="M181" s="33">
        <v>0</v>
      </c>
      <c r="N181" s="34">
        <f>IFERROR(K181-L181-M181," ")</f>
        <v>18</v>
      </c>
      <c r="O181" s="30" t="str">
        <f>"Condiment - Coffee Creamer, Non-Dairy"</f>
        <v>Condiment - Coffee Creamer, Non-Dairy</v>
      </c>
      <c r="P181" s="30" t="str">
        <f>"6 - 22 oz"</f>
        <v>6 - 22 oz</v>
      </c>
      <c r="Q181" s="30" t="str">
        <f>"CASE"</f>
        <v>CASE</v>
      </c>
      <c r="R181" s="30" t="str">
        <f>"DRY"</f>
        <v>DRY</v>
      </c>
      <c r="S181" s="30" t="str">
        <f>"DON"</f>
        <v>DON</v>
      </c>
      <c r="T181" s="30">
        <v>7</v>
      </c>
      <c r="U181" s="44">
        <v>0</v>
      </c>
      <c r="V181" s="36">
        <f>IFERROR($U181*$J181," ")</f>
        <v>0</v>
      </c>
    </row>
    <row r="182" spans="1:22" ht="27.75" customHeight="1" x14ac:dyDescent="0.3">
      <c r="A182" t="s">
        <v>45</v>
      </c>
      <c r="B182" t="str">
        <f t="shared" si="39"/>
        <v/>
      </c>
      <c r="F182" s="1" t="str">
        <f>F181</f>
        <v>26</v>
      </c>
      <c r="G182" s="3"/>
      <c r="H182" s="4" t="str">
        <f>"""Ceres 5 "",""SHNLFB - Duluth - LIVE"",""27"",""1"",""10165"""</f>
        <v>"Ceres 5 ","SHNLFB - Duluth - LIVE","27","1","10165"</v>
      </c>
      <c r="I182" s="30" t="str">
        <f>"10165"</f>
        <v>10165</v>
      </c>
      <c r="J182" s="31"/>
      <c r="K182" s="32">
        <v>14</v>
      </c>
      <c r="L182" s="33">
        <v>13</v>
      </c>
      <c r="M182" s="33">
        <v>0</v>
      </c>
      <c r="N182" s="34">
        <f>IFERROR(K182-L182-M182," ")</f>
        <v>1</v>
      </c>
      <c r="O182" s="30" t="str">
        <f>"Condiment - Ketchup"</f>
        <v>Condiment - Ketchup</v>
      </c>
      <c r="P182" s="30" t="str">
        <f>"20 - 14 oz"</f>
        <v>20 - 14 oz</v>
      </c>
      <c r="Q182" s="30" t="str">
        <f>"CASE"</f>
        <v>CASE</v>
      </c>
      <c r="R182" s="30" t="str">
        <f>"DRY"</f>
        <v>DRY</v>
      </c>
      <c r="S182" s="30" t="str">
        <f>"DON"</f>
        <v>DON</v>
      </c>
      <c r="T182" s="30">
        <v>20</v>
      </c>
      <c r="U182" s="44">
        <v>0</v>
      </c>
      <c r="V182" s="36">
        <f>IFERROR($U182*$J182," ")</f>
        <v>0</v>
      </c>
    </row>
    <row r="183" spans="1:22" ht="27.75" customHeight="1" x14ac:dyDescent="0.3">
      <c r="A183" t="s">
        <v>45</v>
      </c>
      <c r="B183" t="str">
        <f t="shared" si="39"/>
        <v/>
      </c>
      <c r="F183" s="1" t="str">
        <f>F182</f>
        <v>26</v>
      </c>
      <c r="G183" s="3"/>
      <c r="H183" s="4" t="str">
        <f>"""Ceres 5 "",""SHNLFB - Duluth - LIVE"",""27"",""1"",""12635"""</f>
        <v>"Ceres 5 ","SHNLFB - Duluth - LIVE","27","1","12635"</v>
      </c>
      <c r="I183" s="30" t="str">
        <f>"12635"</f>
        <v>12635</v>
      </c>
      <c r="J183" s="31"/>
      <c r="K183" s="32">
        <v>67</v>
      </c>
      <c r="L183" s="33">
        <v>0</v>
      </c>
      <c r="M183" s="33">
        <v>0</v>
      </c>
      <c r="N183" s="34">
        <f>IFERROR(K183-L183-M183," ")</f>
        <v>67</v>
      </c>
      <c r="O183" s="30" t="str">
        <f>"Condiment - Ketchup"</f>
        <v>Condiment - Ketchup</v>
      </c>
      <c r="P183" s="30" t="str">
        <f>"28 oz bag"</f>
        <v>28 oz bag</v>
      </c>
      <c r="Q183" s="30" t="str">
        <f>"CAN"</f>
        <v>CAN</v>
      </c>
      <c r="R183" s="30" t="str">
        <f>"DRY"</f>
        <v>DRY</v>
      </c>
      <c r="S183" s="30" t="str">
        <f>"DON"</f>
        <v>DON</v>
      </c>
      <c r="T183" s="30">
        <v>7</v>
      </c>
      <c r="U183" s="44">
        <v>0</v>
      </c>
      <c r="V183" s="36">
        <f>IFERROR($U183*$J183," ")</f>
        <v>0</v>
      </c>
    </row>
    <row r="184" spans="1:22" ht="27.75" customHeight="1" x14ac:dyDescent="0.3">
      <c r="A184" t="s">
        <v>45</v>
      </c>
      <c r="B184" t="str">
        <f t="shared" si="39"/>
        <v/>
      </c>
      <c r="F184" s="1" t="str">
        <f>F183</f>
        <v>26</v>
      </c>
      <c r="G184" s="3"/>
      <c r="H184" s="4" t="str">
        <f>"""Ceres 5 "",""SHNLFB - Duluth - LIVE"",""27"",""1"",""11441"""</f>
        <v>"Ceres 5 ","SHNLFB - Duluth - LIVE","27","1","11441"</v>
      </c>
      <c r="I184" s="30" t="str">
        <f>"11441"</f>
        <v>11441</v>
      </c>
      <c r="J184" s="31"/>
      <c r="K184" s="32">
        <v>9</v>
      </c>
      <c r="L184" s="33">
        <v>0</v>
      </c>
      <c r="M184" s="33">
        <v>0</v>
      </c>
      <c r="N184" s="34">
        <f>IFERROR(K184-L184-M184," ")</f>
        <v>9</v>
      </c>
      <c r="O184" s="30" t="str">
        <f>"Condiment - Ketchup Packets"</f>
        <v>Condiment - Ketchup Packets</v>
      </c>
      <c r="P184" s="30" t="str">
        <f>"2000 - .25 oz packets"</f>
        <v>2000 - .25 oz packets</v>
      </c>
      <c r="Q184" s="30" t="str">
        <f>"CASE"</f>
        <v>CASE</v>
      </c>
      <c r="R184" s="30" t="str">
        <f>"DRY"</f>
        <v>DRY</v>
      </c>
      <c r="S184" s="30" t="str">
        <f>"DON"</f>
        <v>DON</v>
      </c>
      <c r="T184" s="30">
        <v>30</v>
      </c>
      <c r="U184" s="44">
        <v>0</v>
      </c>
      <c r="V184" s="36">
        <f>IFERROR($U184*$J184," ")</f>
        <v>0</v>
      </c>
    </row>
    <row r="185" spans="1:22" ht="27.75" customHeight="1" x14ac:dyDescent="0.3">
      <c r="A185" t="s">
        <v>45</v>
      </c>
      <c r="B185" t="str">
        <f t="shared" si="39"/>
        <v/>
      </c>
      <c r="F185" s="1" t="str">
        <f>F184</f>
        <v>26</v>
      </c>
      <c r="G185" s="3"/>
      <c r="H185" s="4" t="str">
        <f>"""Ceres 5 "",""SHNLFB - Duluth - LIVE"",""27"",""1"",""10700"""</f>
        <v>"Ceres 5 ","SHNLFB - Duluth - LIVE","27","1","10700"</v>
      </c>
      <c r="I185" s="30" t="str">
        <f>"10700"</f>
        <v>10700</v>
      </c>
      <c r="J185" s="31"/>
      <c r="K185" s="32">
        <v>50</v>
      </c>
      <c r="L185" s="33">
        <v>10</v>
      </c>
      <c r="M185" s="33">
        <v>0</v>
      </c>
      <c r="N185" s="34">
        <f>IFERROR(K185-L185-M185," ")</f>
        <v>40</v>
      </c>
      <c r="O185" s="30" t="str">
        <f>"Condiment - Mayo, Light"</f>
        <v>Condiment - Mayo, Light</v>
      </c>
      <c r="P185" s="30" t="str">
        <f>"10 - 22 oz"</f>
        <v>10 - 22 oz</v>
      </c>
      <c r="Q185" s="30" t="str">
        <f>"CASE"</f>
        <v>CASE</v>
      </c>
      <c r="R185" s="30" t="str">
        <f>"DRY"</f>
        <v>DRY</v>
      </c>
      <c r="S185" s="30" t="str">
        <f>"DON"</f>
        <v>DON</v>
      </c>
      <c r="T185" s="30">
        <v>14</v>
      </c>
      <c r="U185" s="44">
        <v>0</v>
      </c>
      <c r="V185" s="36">
        <f>IFERROR($U185*$J185," ")</f>
        <v>0</v>
      </c>
    </row>
    <row r="186" spans="1:22" ht="27.75" customHeight="1" x14ac:dyDescent="0.3">
      <c r="A186" t="s">
        <v>45</v>
      </c>
      <c r="B186" t="str">
        <f t="shared" si="39"/>
        <v/>
      </c>
      <c r="F186" s="1" t="str">
        <f>F185</f>
        <v>26</v>
      </c>
      <c r="G186" s="3"/>
      <c r="H186" s="4" t="str">
        <f>"""Ceres 5 "",""SHNLFB - Duluth - LIVE"",""27"",""1"",""11323"""</f>
        <v>"Ceres 5 ","SHNLFB - Duluth - LIVE","27","1","11323"</v>
      </c>
      <c r="I186" s="30" t="str">
        <f>"11323"</f>
        <v>11323</v>
      </c>
      <c r="J186" s="31"/>
      <c r="K186" s="32">
        <v>168</v>
      </c>
      <c r="L186" s="33">
        <v>9</v>
      </c>
      <c r="M186" s="33">
        <v>0</v>
      </c>
      <c r="N186" s="34">
        <f>IFERROR(K186-L186-M186," ")</f>
        <v>159</v>
      </c>
      <c r="O186" s="30" t="str">
        <f>"Condiment - Mayonnaise"</f>
        <v>Condiment - Mayonnaise</v>
      </c>
      <c r="P186" s="30" t="str">
        <f>"12 - 30 oz"</f>
        <v>12 - 30 oz</v>
      </c>
      <c r="Q186" s="30" t="str">
        <f>"CASE"</f>
        <v>CASE</v>
      </c>
      <c r="R186" s="30" t="str">
        <f>"DRY"</f>
        <v>DRY</v>
      </c>
      <c r="S186" s="30" t="str">
        <f>"DON"</f>
        <v>DON</v>
      </c>
      <c r="T186" s="30">
        <v>24</v>
      </c>
      <c r="U186" s="44">
        <v>4.5599999999999996</v>
      </c>
      <c r="V186" s="36">
        <f>IFERROR($U186*$J186," ")</f>
        <v>0</v>
      </c>
    </row>
    <row r="187" spans="1:22" ht="27.75" customHeight="1" x14ac:dyDescent="0.3">
      <c r="A187" t="s">
        <v>45</v>
      </c>
      <c r="B187" t="str">
        <f t="shared" si="39"/>
        <v/>
      </c>
      <c r="F187" s="1" t="str">
        <f>F186</f>
        <v>26</v>
      </c>
      <c r="G187" s="3"/>
      <c r="H187" s="4" t="str">
        <f>"""Ceres 5 "",""SHNLFB - Duluth - LIVE"",""27"",""1"",""11552"""</f>
        <v>"Ceres 5 ","SHNLFB - Duluth - LIVE","27","1","11552"</v>
      </c>
      <c r="I187" s="30" t="str">
        <f>"11552"</f>
        <v>11552</v>
      </c>
      <c r="J187" s="31"/>
      <c r="K187" s="32">
        <v>169</v>
      </c>
      <c r="L187" s="33">
        <v>5</v>
      </c>
      <c r="M187" s="33">
        <v>0</v>
      </c>
      <c r="N187" s="34">
        <f>IFERROR(K187-L187-M187," ")</f>
        <v>164</v>
      </c>
      <c r="O187" s="30" t="str">
        <f>"Condiment - Mustard,"</f>
        <v>Condiment - Mustard,</v>
      </c>
      <c r="P187" s="30" t="str">
        <f>"12 - 14 oz"</f>
        <v>12 - 14 oz</v>
      </c>
      <c r="Q187" s="30" t="str">
        <f>"CASE"</f>
        <v>CASE</v>
      </c>
      <c r="R187" s="30" t="str">
        <f>"DRY"</f>
        <v>DRY</v>
      </c>
      <c r="S187" s="30" t="str">
        <f>"DON"</f>
        <v>DON</v>
      </c>
      <c r="T187" s="30">
        <v>10</v>
      </c>
      <c r="U187" s="44">
        <v>1.9</v>
      </c>
      <c r="V187" s="36">
        <f>IFERROR($U187*$J187," ")</f>
        <v>0</v>
      </c>
    </row>
    <row r="188" spans="1:22" ht="27.75" customHeight="1" x14ac:dyDescent="0.3">
      <c r="A188" t="s">
        <v>45</v>
      </c>
      <c r="B188" t="str">
        <f t="shared" si="39"/>
        <v/>
      </c>
      <c r="F188" s="1" t="str">
        <f>F187</f>
        <v>26</v>
      </c>
      <c r="G188" s="3"/>
      <c r="H188" s="4" t="str">
        <f>"""Ceres 5 "",""SHNLFB - Duluth - LIVE"",""27"",""1"",""11324"""</f>
        <v>"Ceres 5 ","SHNLFB - Duluth - LIVE","27","1","11324"</v>
      </c>
      <c r="I188" s="30" t="str">
        <f>"11324"</f>
        <v>11324</v>
      </c>
      <c r="J188" s="31"/>
      <c r="K188" s="32">
        <v>54</v>
      </c>
      <c r="L188" s="33">
        <v>2</v>
      </c>
      <c r="M188" s="33">
        <v>0</v>
      </c>
      <c r="N188" s="34">
        <f>IFERROR(K188-L188-M188," ")</f>
        <v>52</v>
      </c>
      <c r="O188" s="30" t="str">
        <f>"Condiment - Mustard, Brown"</f>
        <v>Condiment - Mustard, Brown</v>
      </c>
      <c r="P188" s="30" t="str">
        <f>"4 - 8 lb"</f>
        <v>4 - 8 lb</v>
      </c>
      <c r="Q188" s="30" t="str">
        <f>"CASE"</f>
        <v>CASE</v>
      </c>
      <c r="R188" s="30" t="str">
        <f>"DRY"</f>
        <v>DRY</v>
      </c>
      <c r="S188" s="30" t="str">
        <f>"DON"</f>
        <v>DON</v>
      </c>
      <c r="T188" s="30">
        <v>33</v>
      </c>
      <c r="U188" s="44">
        <v>0</v>
      </c>
      <c r="V188" s="36">
        <f>IFERROR($U188*$J188," ")</f>
        <v>0</v>
      </c>
    </row>
    <row r="189" spans="1:22" ht="27.75" customHeight="1" x14ac:dyDescent="0.3">
      <c r="A189" t="s">
        <v>45</v>
      </c>
      <c r="B189" t="str">
        <f t="shared" si="39"/>
        <v/>
      </c>
      <c r="F189" s="1" t="str">
        <f>F188</f>
        <v>26</v>
      </c>
      <c r="G189" s="3"/>
      <c r="H189" s="4" t="str">
        <f>"""Ceres 5 "",""SHNLFB - Duluth - LIVE"",""27"",""1"",""10453"""</f>
        <v>"Ceres 5 ","SHNLFB - Duluth - LIVE","27","1","10453"</v>
      </c>
      <c r="I189" s="30" t="str">
        <f>"10453"</f>
        <v>10453</v>
      </c>
      <c r="J189" s="31"/>
      <c r="K189" s="32">
        <v>277</v>
      </c>
      <c r="L189" s="33">
        <v>8</v>
      </c>
      <c r="M189" s="33">
        <v>0</v>
      </c>
      <c r="N189" s="34">
        <f>IFERROR(K189-L189-M189," ")</f>
        <v>269</v>
      </c>
      <c r="O189" s="30" t="str">
        <f>"Condiment - Mustard, Honey or Dijon"</f>
        <v>Condiment - Mustard, Honey or Dijon</v>
      </c>
      <c r="P189" s="30" t="str">
        <f>"12 - 12 oz"</f>
        <v>12 - 12 oz</v>
      </c>
      <c r="Q189" s="30" t="str">
        <f>"CASE"</f>
        <v>CASE</v>
      </c>
      <c r="R189" s="30" t="str">
        <f>"DRY"</f>
        <v>DRY</v>
      </c>
      <c r="S189" s="30" t="str">
        <f>"DON"</f>
        <v>DON</v>
      </c>
      <c r="T189" s="30">
        <v>10</v>
      </c>
      <c r="U189" s="44">
        <v>0</v>
      </c>
      <c r="V189" s="36">
        <f>IFERROR($U189*$J189," ")</f>
        <v>0</v>
      </c>
    </row>
    <row r="190" spans="1:22" ht="27.75" customHeight="1" x14ac:dyDescent="0.3">
      <c r="A190" t="s">
        <v>45</v>
      </c>
      <c r="B190" t="str">
        <f t="shared" si="39"/>
        <v/>
      </c>
      <c r="F190" s="1" t="str">
        <f>F189</f>
        <v>26</v>
      </c>
      <c r="G190" s="3"/>
      <c r="H190" s="4" t="str">
        <f>"""Ceres 5 "",""SHNLFB - Duluth - LIVE"",""27"",""1"",""11263"""</f>
        <v>"Ceres 5 ","SHNLFB - Duluth - LIVE","27","1","11263"</v>
      </c>
      <c r="I190" s="30" t="str">
        <f>"11263"</f>
        <v>11263</v>
      </c>
      <c r="J190" s="31"/>
      <c r="K190" s="32">
        <v>44</v>
      </c>
      <c r="L190" s="33">
        <v>0</v>
      </c>
      <c r="M190" s="33">
        <v>0</v>
      </c>
      <c r="N190" s="34">
        <f>IFERROR(K190-L190-M190," ")</f>
        <v>44</v>
      </c>
      <c r="O190" s="30" t="str">
        <f>"Condiment - Mustard, Spicy Brown"</f>
        <v>Condiment - Mustard, Spicy Brown</v>
      </c>
      <c r="P190" s="30" t="str">
        <f>"4 - 105 oz"</f>
        <v>4 - 105 oz</v>
      </c>
      <c r="Q190" s="30" t="str">
        <f>"CASE"</f>
        <v>CASE</v>
      </c>
      <c r="R190" s="30" t="str">
        <f>"DRY"</f>
        <v>DRY</v>
      </c>
      <c r="S190" s="30" t="str">
        <f>"DON"</f>
        <v>DON</v>
      </c>
      <c r="T190" s="30">
        <v>27</v>
      </c>
      <c r="U190" s="44">
        <v>0</v>
      </c>
      <c r="V190" s="36">
        <f>IFERROR($U190*$J190," ")</f>
        <v>0</v>
      </c>
    </row>
    <row r="191" spans="1:22" ht="27.75" customHeight="1" x14ac:dyDescent="0.3">
      <c r="A191" t="s">
        <v>45</v>
      </c>
      <c r="B191" t="str">
        <f t="shared" si="39"/>
        <v/>
      </c>
      <c r="F191" s="1" t="str">
        <f>F190</f>
        <v>26</v>
      </c>
      <c r="G191" s="3"/>
      <c r="H191" s="4" t="str">
        <f>"""Ceres 5 "",""SHNLFB - Duluth - LIVE"",""27"",""1"",""10622"""</f>
        <v>"Ceres 5 ","SHNLFB - Duluth - LIVE","27","1","10622"</v>
      </c>
      <c r="I191" s="30" t="str">
        <f>"10622"</f>
        <v>10622</v>
      </c>
      <c r="J191" s="31"/>
      <c r="K191" s="32">
        <v>14</v>
      </c>
      <c r="L191" s="33">
        <v>1</v>
      </c>
      <c r="M191" s="33">
        <v>0</v>
      </c>
      <c r="N191" s="34">
        <f>IFERROR(K191-L191-M191," ")</f>
        <v>13</v>
      </c>
      <c r="O191" s="30" t="str">
        <f>"Condiment - Mustard, Yellow"</f>
        <v>Condiment - Mustard, Yellow</v>
      </c>
      <c r="P191" s="30" t="str">
        <f>"12 - 20 oz"</f>
        <v>12 - 20 oz</v>
      </c>
      <c r="Q191" s="30" t="str">
        <f>"CASE"</f>
        <v>CASE</v>
      </c>
      <c r="R191" s="30" t="str">
        <f>"DRY"</f>
        <v>DRY</v>
      </c>
      <c r="S191" s="30" t="str">
        <f>"DON"</f>
        <v>DON</v>
      </c>
      <c r="T191" s="30">
        <v>16</v>
      </c>
      <c r="U191" s="44">
        <v>3.04</v>
      </c>
      <c r="V191" s="36">
        <f>IFERROR($U191*$J191," ")</f>
        <v>0</v>
      </c>
    </row>
    <row r="192" spans="1:22" ht="27.75" customHeight="1" x14ac:dyDescent="0.3">
      <c r="A192" t="s">
        <v>45</v>
      </c>
      <c r="B192" t="str">
        <f t="shared" si="39"/>
        <v/>
      </c>
      <c r="F192" s="1" t="str">
        <f>F191</f>
        <v>26</v>
      </c>
      <c r="G192" s="3"/>
      <c r="H192" s="4" t="str">
        <f>"""Ceres 5 "",""SHNLFB - Duluth - LIVE"",""27"",""1"",""11352"""</f>
        <v>"Ceres 5 ","SHNLFB - Duluth - LIVE","27","1","11352"</v>
      </c>
      <c r="I192" s="30" t="str">
        <f>"11352"</f>
        <v>11352</v>
      </c>
      <c r="J192" s="31"/>
      <c r="K192" s="32">
        <v>68</v>
      </c>
      <c r="L192" s="33">
        <v>43</v>
      </c>
      <c r="M192" s="33">
        <v>0</v>
      </c>
      <c r="N192" s="34">
        <f>IFERROR(K192-L192-M192," ")</f>
        <v>25</v>
      </c>
      <c r="O192" s="30" t="str">
        <f>"Condiment - Pickles, Dill"</f>
        <v>Condiment - Pickles, Dill</v>
      </c>
      <c r="P192" s="30" t="str">
        <f>"6 - 32 oz"</f>
        <v>6 - 32 oz</v>
      </c>
      <c r="Q192" s="30" t="str">
        <f>"CASE"</f>
        <v>CASE</v>
      </c>
      <c r="R192" s="30" t="str">
        <f>"DRY"</f>
        <v>DRY</v>
      </c>
      <c r="S192" s="30" t="str">
        <f>"DON"</f>
        <v>DON</v>
      </c>
      <c r="T192" s="30">
        <v>18</v>
      </c>
      <c r="U192" s="44">
        <v>0</v>
      </c>
      <c r="V192" s="36">
        <f>IFERROR($U192*$J192," ")</f>
        <v>0</v>
      </c>
    </row>
    <row r="193" spans="1:22" ht="27.75" customHeight="1" x14ac:dyDescent="0.3">
      <c r="A193" t="s">
        <v>45</v>
      </c>
      <c r="B193" t="str">
        <f t="shared" si="39"/>
        <v/>
      </c>
      <c r="F193" s="1" t="str">
        <f>F192</f>
        <v>26</v>
      </c>
      <c r="G193" s="3"/>
      <c r="H193" s="4" t="str">
        <f>"""Ceres 5 "",""SHNLFB - Duluth - LIVE"",""27"",""1"",""11654"""</f>
        <v>"Ceres 5 ","SHNLFB - Duluth - LIVE","27","1","11654"</v>
      </c>
      <c r="I193" s="30" t="str">
        <f>"11654"</f>
        <v>11654</v>
      </c>
      <c r="J193" s="31"/>
      <c r="K193" s="32">
        <v>24</v>
      </c>
      <c r="L193" s="33">
        <v>16</v>
      </c>
      <c r="M193" s="33">
        <v>0</v>
      </c>
      <c r="N193" s="34">
        <f>IFERROR(K193-L193-M193," ")</f>
        <v>8</v>
      </c>
      <c r="O193" s="30" t="str">
        <f>"Condiment - Pickles, Dill"</f>
        <v>Condiment - Pickles, Dill</v>
      </c>
      <c r="P193" s="30" t="str">
        <f>"12 - 32 oz."</f>
        <v>12 - 32 oz.</v>
      </c>
      <c r="Q193" s="30" t="str">
        <f>"CASE"</f>
        <v>CASE</v>
      </c>
      <c r="R193" s="30" t="str">
        <f>"DRY"</f>
        <v>DRY</v>
      </c>
      <c r="S193" s="30" t="str">
        <f>"DON"</f>
        <v>DON</v>
      </c>
      <c r="T193" s="30">
        <v>24</v>
      </c>
      <c r="U193" s="44">
        <v>4.5599999999999996</v>
      </c>
      <c r="V193" s="36">
        <f>IFERROR($U193*$J193," ")</f>
        <v>0</v>
      </c>
    </row>
    <row r="194" spans="1:22" ht="27.75" customHeight="1" x14ac:dyDescent="0.3">
      <c r="A194" t="s">
        <v>45</v>
      </c>
      <c r="B194" t="str">
        <f t="shared" si="39"/>
        <v/>
      </c>
      <c r="F194" s="1" t="str">
        <f>F193</f>
        <v>26</v>
      </c>
      <c r="G194" s="3"/>
      <c r="H194" s="4" t="str">
        <f>"""Ceres 5 "",""SHNLFB - Duluth - LIVE"",""27"",""1"",""10801"""</f>
        <v>"Ceres 5 ","SHNLFB - Duluth - LIVE","27","1","10801"</v>
      </c>
      <c r="I194" s="30" t="str">
        <f>"10801"</f>
        <v>10801</v>
      </c>
      <c r="J194" s="31"/>
      <c r="K194" s="32">
        <v>15</v>
      </c>
      <c r="L194" s="33">
        <v>1</v>
      </c>
      <c r="M194" s="33">
        <v>0</v>
      </c>
      <c r="N194" s="34">
        <f>IFERROR(K194-L194-M194," ")</f>
        <v>14</v>
      </c>
      <c r="O194" s="30" t="str">
        <f>"Condiment - Vinegar"</f>
        <v>Condiment - Vinegar</v>
      </c>
      <c r="P194" s="30" t="str">
        <f>"12 - 16 oz"</f>
        <v>12 - 16 oz</v>
      </c>
      <c r="Q194" s="30" t="str">
        <f>"CASE"</f>
        <v>CASE</v>
      </c>
      <c r="R194" s="30" t="str">
        <f>"DRY"</f>
        <v>DRY</v>
      </c>
      <c r="S194" s="30" t="str">
        <f>"DON"</f>
        <v>DON</v>
      </c>
      <c r="T194" s="30">
        <v>12</v>
      </c>
      <c r="U194" s="44">
        <v>2.2799999999999998</v>
      </c>
      <c r="V194" s="36">
        <f>IFERROR($U194*$J194," ")</f>
        <v>0</v>
      </c>
    </row>
    <row r="195" spans="1:22" ht="27.75" customHeight="1" x14ac:dyDescent="0.3">
      <c r="A195" t="s">
        <v>45</v>
      </c>
      <c r="B195" t="str">
        <f t="shared" si="39"/>
        <v/>
      </c>
      <c r="F195" s="1" t="str">
        <f>F194</f>
        <v>26</v>
      </c>
      <c r="G195" s="3"/>
      <c r="H195" s="4" t="str">
        <f>"""Ceres 5 "",""SHNLFB - Duluth - LIVE"",""27"",""1"",""10217"""</f>
        <v>"Ceres 5 ","SHNLFB - Duluth - LIVE","27","1","10217"</v>
      </c>
      <c r="I195" s="30" t="str">
        <f>"10217"</f>
        <v>10217</v>
      </c>
      <c r="J195" s="31"/>
      <c r="K195" s="32">
        <v>1</v>
      </c>
      <c r="L195" s="33">
        <v>0</v>
      </c>
      <c r="M195" s="33">
        <v>0</v>
      </c>
      <c r="N195" s="34">
        <f>IFERROR(K195-L195-M195," ")</f>
        <v>1</v>
      </c>
      <c r="O195" s="30" t="str">
        <f>"Dessert - Ice Cream Cones"</f>
        <v>Dessert - Ice Cream Cones</v>
      </c>
      <c r="P195" s="30" t="str">
        <f>"8 - 112 cones"</f>
        <v>8 - 112 cones</v>
      </c>
      <c r="Q195" s="30" t="str">
        <f>"CASE"</f>
        <v>CASE</v>
      </c>
      <c r="R195" s="30" t="str">
        <f>"DRY"</f>
        <v>DRY</v>
      </c>
      <c r="S195" s="30" t="str">
        <f>"DON"</f>
        <v>DON</v>
      </c>
      <c r="T195" s="30">
        <v>11</v>
      </c>
      <c r="U195" s="44">
        <v>0</v>
      </c>
      <c r="V195" s="36">
        <f>IFERROR($U195*$J195," ")</f>
        <v>0</v>
      </c>
    </row>
    <row r="196" spans="1:22" ht="27.75" customHeight="1" x14ac:dyDescent="0.3">
      <c r="A196" t="s">
        <v>45</v>
      </c>
      <c r="B196" t="str">
        <f t="shared" si="39"/>
        <v/>
      </c>
      <c r="F196" s="1" t="str">
        <f>F195</f>
        <v>26</v>
      </c>
      <c r="G196" s="3"/>
      <c r="H196" s="4" t="str">
        <f>"""Ceres 5 "",""SHNLFB - Duluth - LIVE"",""27"",""1"",""10661"""</f>
        <v>"Ceres 5 ","SHNLFB - Duluth - LIVE","27","1","10661"</v>
      </c>
      <c r="I196" s="30" t="str">
        <f>"10661"</f>
        <v>10661</v>
      </c>
      <c r="J196" s="31"/>
      <c r="K196" s="32">
        <v>117</v>
      </c>
      <c r="L196" s="33">
        <v>29</v>
      </c>
      <c r="M196" s="33">
        <v>0</v>
      </c>
      <c r="N196" s="34">
        <f>IFERROR(K196-L196-M196," ")</f>
        <v>88</v>
      </c>
      <c r="O196" s="30" t="str">
        <f>"HW-Condiment - Jelly, Grape"</f>
        <v>HW-Condiment - Jelly, Grape</v>
      </c>
      <c r="P196" s="30" t="str">
        <f>"12-19 oz"</f>
        <v>12-19 oz</v>
      </c>
      <c r="Q196" s="30" t="str">
        <f>"CASE"</f>
        <v>CASE</v>
      </c>
      <c r="R196" s="30" t="str">
        <f>"DRY"</f>
        <v>DRY</v>
      </c>
      <c r="S196" s="30" t="str">
        <f>"BBPUR"</f>
        <v>BBPUR</v>
      </c>
      <c r="T196" s="30">
        <v>16</v>
      </c>
      <c r="U196" s="44">
        <v>12.5265</v>
      </c>
      <c r="V196" s="36">
        <f>IFERROR($U196*$J196," ")</f>
        <v>0</v>
      </c>
    </row>
    <row r="197" spans="1:22" ht="27.75" customHeight="1" x14ac:dyDescent="0.3">
      <c r="A197" t="s">
        <v>45</v>
      </c>
      <c r="B197" t="str">
        <f t="shared" si="39"/>
        <v/>
      </c>
      <c r="F197" s="1" t="str">
        <f>F196</f>
        <v>26</v>
      </c>
      <c r="G197" s="3"/>
      <c r="H197" s="4" t="str">
        <f>"""Ceres 5 "",""SHNLFB - Duluth - LIVE"",""27"",""1"",""10166"""</f>
        <v>"Ceres 5 ","SHNLFB - Duluth - LIVE","27","1","10166"</v>
      </c>
      <c r="I197" s="30" t="str">
        <f>"10166"</f>
        <v>10166</v>
      </c>
      <c r="J197" s="31"/>
      <c r="K197" s="32">
        <v>59</v>
      </c>
      <c r="L197" s="33">
        <v>9</v>
      </c>
      <c r="M197" s="33">
        <v>0</v>
      </c>
      <c r="N197" s="34">
        <f>IFERROR(K197-L197-M197," ")</f>
        <v>50</v>
      </c>
      <c r="O197" s="30" t="str">
        <f>"HW-Condiment - Jelly, Strawberry"</f>
        <v>HW-Condiment - Jelly, Strawberry</v>
      </c>
      <c r="P197" s="30" t="str">
        <f>"12-19 oz plastic bottles"</f>
        <v>12-19 oz plastic bottles</v>
      </c>
      <c r="Q197" s="30" t="str">
        <f>"CASE"</f>
        <v>CASE</v>
      </c>
      <c r="R197" s="30" t="str">
        <f>"DRY"</f>
        <v>DRY</v>
      </c>
      <c r="S197" s="30" t="str">
        <f>"BBPUR"</f>
        <v>BBPUR</v>
      </c>
      <c r="T197" s="30">
        <v>16</v>
      </c>
      <c r="U197" s="44">
        <v>14.4375</v>
      </c>
      <c r="V197" s="36">
        <f>IFERROR($U197*$J197," ")</f>
        <v>0</v>
      </c>
    </row>
    <row r="198" spans="1:22" ht="27.75" customHeight="1" x14ac:dyDescent="0.3">
      <c r="A198" t="s">
        <v>45</v>
      </c>
      <c r="B198" t="str">
        <f t="shared" si="39"/>
        <v/>
      </c>
      <c r="F198" s="1" t="str">
        <f>F197</f>
        <v>26</v>
      </c>
      <c r="G198" s="3"/>
      <c r="H198" s="4" t="str">
        <f>"""Ceres 5 "",""SHNLFB - Duluth - LIVE"",""27"",""1"",""12241"""</f>
        <v>"Ceres 5 ","SHNLFB - Duluth - LIVE","27","1","12241"</v>
      </c>
      <c r="I198" s="30" t="str">
        <f>"12241"</f>
        <v>12241</v>
      </c>
      <c r="J198" s="31"/>
      <c r="K198" s="32">
        <v>85</v>
      </c>
      <c r="L198" s="33">
        <v>1</v>
      </c>
      <c r="M198" s="33">
        <v>0</v>
      </c>
      <c r="N198" s="34">
        <f>IFERROR(K198-L198-M198," ")</f>
        <v>84</v>
      </c>
      <c r="O198" s="30" t="str">
        <f>"HW-Condiment - Ketchup"</f>
        <v>HW-Condiment - Ketchup</v>
      </c>
      <c r="P198" s="30" t="str">
        <f>"16 - 24oz"</f>
        <v>16 - 24oz</v>
      </c>
      <c r="Q198" s="30" t="str">
        <f>"CASE"</f>
        <v>CASE</v>
      </c>
      <c r="R198" s="30" t="str">
        <f>"DRY"</f>
        <v>DRY</v>
      </c>
      <c r="S198" s="30" t="str">
        <f>"BBPUR"</f>
        <v>BBPUR</v>
      </c>
      <c r="T198" s="30">
        <v>26</v>
      </c>
      <c r="U198" s="44">
        <v>13.3272195</v>
      </c>
      <c r="V198" s="36">
        <f>IFERROR($U198*$J198," ")</f>
        <v>0</v>
      </c>
    </row>
    <row r="199" spans="1:22" ht="27.75" customHeight="1" x14ac:dyDescent="0.3">
      <c r="A199" t="s">
        <v>45</v>
      </c>
      <c r="B199" t="str">
        <f t="shared" si="39"/>
        <v/>
      </c>
      <c r="F199" s="1" t="str">
        <f>F198</f>
        <v>26</v>
      </c>
      <c r="G199" s="3"/>
      <c r="H199" s="4" t="str">
        <f>"""Ceres 5 "",""SHNLFB - Duluth - LIVE"",""27"",""1"",""13048"""</f>
        <v>"Ceres 5 ","SHNLFB - Duluth - LIVE","27","1","13048"</v>
      </c>
      <c r="I199" s="30" t="str">
        <f>"13048"</f>
        <v>13048</v>
      </c>
      <c r="J199" s="31"/>
      <c r="K199" s="32">
        <v>54</v>
      </c>
      <c r="L199" s="33">
        <v>30</v>
      </c>
      <c r="M199" s="33">
        <v>0</v>
      </c>
      <c r="N199" s="34">
        <f>IFERROR(K199-L199-M199," ")</f>
        <v>24</v>
      </c>
      <c r="O199" s="30" t="str">
        <f>"HW-Condiment - Pancake Syrup"</f>
        <v>HW-Condiment - Pancake Syrup</v>
      </c>
      <c r="P199" s="30" t="str">
        <f>"12 - 24 oz"</f>
        <v>12 - 24 oz</v>
      </c>
      <c r="Q199" s="30" t="str">
        <f>"CASE"</f>
        <v>CASE</v>
      </c>
      <c r="R199" s="30" t="str">
        <f>"DRY"</f>
        <v>DRY</v>
      </c>
      <c r="S199" s="30" t="str">
        <f>"BBPUR"</f>
        <v>BBPUR</v>
      </c>
      <c r="T199" s="30">
        <v>20</v>
      </c>
      <c r="U199" s="44">
        <v>11.140499999999999</v>
      </c>
      <c r="V199" s="36">
        <f>IFERROR($U199*$J199," ")</f>
        <v>0</v>
      </c>
    </row>
    <row r="200" spans="1:22" ht="27.75" customHeight="1" x14ac:dyDescent="0.3">
      <c r="A200" t="s">
        <v>45</v>
      </c>
      <c r="B200" t="str">
        <f t="shared" si="39"/>
        <v/>
      </c>
      <c r="F200" s="1" t="str">
        <f>F199</f>
        <v>26</v>
      </c>
      <c r="G200" s="3"/>
      <c r="H200" s="4" t="str">
        <f>"""Ceres 5 "",""SHNLFB - Duluth - LIVE"",""27"",""1"",""10738"""</f>
        <v>"Ceres 5 ","SHNLFB - Duluth - LIVE","27","1","10738"</v>
      </c>
      <c r="I200" s="30" t="str">
        <f>"10738"</f>
        <v>10738</v>
      </c>
      <c r="J200" s="31"/>
      <c r="K200" s="32">
        <v>44</v>
      </c>
      <c r="L200" s="33">
        <v>20</v>
      </c>
      <c r="M200" s="33">
        <v>0</v>
      </c>
      <c r="N200" s="34">
        <f>IFERROR(K200-L200-M200," ")</f>
        <v>24</v>
      </c>
      <c r="O200" s="30" t="str">
        <f>"HW-Condiment - Sugar "</f>
        <v xml:space="preserve">HW-Condiment - Sugar </v>
      </c>
      <c r="P200" s="30" t="str">
        <f>"8-5 lb bags"</f>
        <v>8-5 lb bags</v>
      </c>
      <c r="Q200" s="30" t="str">
        <f>"CASE"</f>
        <v>CASE</v>
      </c>
      <c r="R200" s="30" t="str">
        <f>"DRY"</f>
        <v>DRY</v>
      </c>
      <c r="S200" s="30" t="str">
        <f>"BBPUR"</f>
        <v>BBPUR</v>
      </c>
      <c r="T200" s="30">
        <v>40</v>
      </c>
      <c r="U200" s="44">
        <v>20.202000000000002</v>
      </c>
      <c r="V200" s="36">
        <f>IFERROR($U200*$J200," ")</f>
        <v>0</v>
      </c>
    </row>
    <row r="201" spans="1:22" ht="27.75" customHeight="1" x14ac:dyDescent="0.3">
      <c r="A201" t="s">
        <v>45</v>
      </c>
      <c r="B201" t="str">
        <f t="shared" si="39"/>
        <v/>
      </c>
      <c r="F201" s="1" t="str">
        <f>F200</f>
        <v>26</v>
      </c>
      <c r="G201" s="3"/>
      <c r="H201" s="4" t="str">
        <f>"""Ceres 5 "",""SHNLFB - Duluth - LIVE"",""27"",""1"",""10418"""</f>
        <v>"Ceres 5 ","SHNLFB - Duluth - LIVE","27","1","10418"</v>
      </c>
      <c r="I201" s="30" t="str">
        <f>"10418"</f>
        <v>10418</v>
      </c>
      <c r="J201" s="31"/>
      <c r="K201" s="32">
        <v>5</v>
      </c>
      <c r="L201" s="33">
        <v>4</v>
      </c>
      <c r="M201" s="33">
        <v>0</v>
      </c>
      <c r="N201" s="34">
        <f>IFERROR(K201-L201-M201," ")</f>
        <v>1</v>
      </c>
      <c r="O201" s="30" t="str">
        <f>"HW-Condiment - Vegetable Oil"</f>
        <v>HW-Condiment - Vegetable Oil</v>
      </c>
      <c r="P201" s="30" t="str">
        <f>"12-24 oz"</f>
        <v>12-24 oz</v>
      </c>
      <c r="Q201" s="30" t="str">
        <f>"CASE"</f>
        <v>CASE</v>
      </c>
      <c r="R201" s="30" t="str">
        <f>"DRY"</f>
        <v>DRY</v>
      </c>
      <c r="S201" s="30" t="str">
        <f>"BBPUR"</f>
        <v>BBPUR</v>
      </c>
      <c r="T201" s="30">
        <v>19</v>
      </c>
      <c r="U201" s="44">
        <v>18.343499999999999</v>
      </c>
      <c r="V201" s="36">
        <f>IFERROR($U201*$J201," ")</f>
        <v>0</v>
      </c>
    </row>
    <row r="202" spans="1:22" ht="27.75" customHeight="1" x14ac:dyDescent="0.3">
      <c r="A202" t="s">
        <v>45</v>
      </c>
      <c r="B202" t="str">
        <f t="shared" si="39"/>
        <v/>
      </c>
      <c r="F202" s="1" t="str">
        <f>F201</f>
        <v>26</v>
      </c>
      <c r="G202" s="3"/>
      <c r="H202" s="4" t="str">
        <f>"""Ceres 5 "",""SHNLFB - Duluth - LIVE"",""27"",""1"",""10353"""</f>
        <v>"Ceres 5 ","SHNLFB - Duluth - LIVE","27","1","10353"</v>
      </c>
      <c r="I202" s="30" t="str">
        <f>"10353"</f>
        <v>10353</v>
      </c>
      <c r="J202" s="31"/>
      <c r="K202" s="32">
        <v>148</v>
      </c>
      <c r="L202" s="33">
        <v>41</v>
      </c>
      <c r="M202" s="33">
        <v>0</v>
      </c>
      <c r="N202" s="34">
        <f>IFERROR(K202-L202-M202," ")</f>
        <v>107</v>
      </c>
      <c r="O202" s="30" t="str">
        <f>"HW-Sauce - Sloppy Joe Sauce"</f>
        <v>HW-Sauce - Sloppy Joe Sauce</v>
      </c>
      <c r="P202" s="30" t="str">
        <f>"12-15 oz"</f>
        <v>12-15 oz</v>
      </c>
      <c r="Q202" s="30" t="str">
        <f>"CASE"</f>
        <v>CASE</v>
      </c>
      <c r="R202" s="30" t="str">
        <f>"DRY"</f>
        <v>DRY</v>
      </c>
      <c r="S202" s="30" t="str">
        <f>"BBPUR"</f>
        <v>BBPUR</v>
      </c>
      <c r="T202" s="30">
        <v>14</v>
      </c>
      <c r="U202" s="44">
        <v>9.1140000000000008</v>
      </c>
      <c r="V202" s="36">
        <f>IFERROR($U202*$J202," ")</f>
        <v>0</v>
      </c>
    </row>
    <row r="203" spans="1:22" ht="27.75" customHeight="1" x14ac:dyDescent="0.3">
      <c r="A203" t="s">
        <v>45</v>
      </c>
      <c r="B203" t="str">
        <f t="shared" si="39"/>
        <v/>
      </c>
      <c r="F203" s="1" t="str">
        <f>F202</f>
        <v>26</v>
      </c>
      <c r="G203" s="3"/>
      <c r="H203" s="4" t="str">
        <f>"""Ceres 5 "",""SHNLFB - Duluth - LIVE"",""27"",""1"",""10491"""</f>
        <v>"Ceres 5 ","SHNLFB - Duluth - LIVE","27","1","10491"</v>
      </c>
      <c r="I203" s="30" t="str">
        <f>"10491"</f>
        <v>10491</v>
      </c>
      <c r="J203" s="31"/>
      <c r="K203" s="32">
        <v>25</v>
      </c>
      <c r="L203" s="33">
        <v>0</v>
      </c>
      <c r="M203" s="33">
        <v>0</v>
      </c>
      <c r="N203" s="34">
        <f>IFERROR(K203-L203-M203," ")</f>
        <v>25</v>
      </c>
      <c r="O203" s="30" t="str">
        <f>"Sauce - Burrito"</f>
        <v>Sauce - Burrito</v>
      </c>
      <c r="P203" s="30" t="str">
        <f>"4-1 gallon"</f>
        <v>4-1 gallon</v>
      </c>
      <c r="Q203" s="30" t="str">
        <f>"CASE"</f>
        <v>CASE</v>
      </c>
      <c r="R203" s="30" t="str">
        <f>"DRY"</f>
        <v>DRY</v>
      </c>
      <c r="S203" s="30" t="str">
        <f>"DON"</f>
        <v>DON</v>
      </c>
      <c r="T203" s="30">
        <v>42</v>
      </c>
      <c r="U203" s="44">
        <v>0</v>
      </c>
      <c r="V203" s="36">
        <f>IFERROR($U203*$J203," ")</f>
        <v>0</v>
      </c>
    </row>
    <row r="204" spans="1:22" ht="27.75" customHeight="1" x14ac:dyDescent="0.3">
      <c r="A204" t="s">
        <v>45</v>
      </c>
      <c r="B204" t="str">
        <f t="shared" si="39"/>
        <v/>
      </c>
      <c r="F204" s="1" t="str">
        <f>F203</f>
        <v>26</v>
      </c>
      <c r="G204" s="3"/>
      <c r="H204" s="4" t="str">
        <f>"""Ceres 5 "",""SHNLFB - Duluth - LIVE"",""27"",""1"",""11448"""</f>
        <v>"Ceres 5 ","SHNLFB - Duluth - LIVE","27","1","11448"</v>
      </c>
      <c r="I204" s="30" t="str">
        <f>"11448"</f>
        <v>11448</v>
      </c>
      <c r="J204" s="31"/>
      <c r="K204" s="32">
        <v>12</v>
      </c>
      <c r="L204" s="33">
        <v>0</v>
      </c>
      <c r="M204" s="33">
        <v>0</v>
      </c>
      <c r="N204" s="34">
        <f>IFERROR(K204-L204-M204," ")</f>
        <v>12</v>
      </c>
      <c r="O204" s="30" t="str">
        <f>"Sauce - Nacho Cheese"</f>
        <v>Sauce - Nacho Cheese</v>
      </c>
      <c r="P204" s="30" t="str">
        <f>"4 - 8.75 oz bags"</f>
        <v>4 - 8.75 oz bags</v>
      </c>
      <c r="Q204" s="30" t="str">
        <f>"CASE"</f>
        <v>CASE</v>
      </c>
      <c r="R204" s="30" t="str">
        <f>"DRY"</f>
        <v>DRY</v>
      </c>
      <c r="S204" s="30" t="str">
        <f>"DON"</f>
        <v>DON</v>
      </c>
      <c r="T204" s="30">
        <v>38</v>
      </c>
      <c r="U204" s="44">
        <v>0</v>
      </c>
      <c r="V204" s="36">
        <f>IFERROR($U204*$J204," ")</f>
        <v>0</v>
      </c>
    </row>
    <row r="205" spans="1:22" ht="27.75" customHeight="1" x14ac:dyDescent="0.3">
      <c r="A205" t="s">
        <v>45</v>
      </c>
      <c r="B205" t="str">
        <f t="shared" si="39"/>
        <v/>
      </c>
      <c r="F205" s="1" t="str">
        <f>F204</f>
        <v>26</v>
      </c>
      <c r="G205" s="3"/>
      <c r="H205" s="4" t="str">
        <f>"""Ceres 5 "",""SHNLFB - Duluth - LIVE"",""27"",""1"",""12227"""</f>
        <v>"Ceres 5 ","SHNLFB - Duluth - LIVE","27","1","12227"</v>
      </c>
      <c r="I205" s="30" t="str">
        <f>"12227"</f>
        <v>12227</v>
      </c>
      <c r="J205" s="31"/>
      <c r="K205" s="32">
        <v>48</v>
      </c>
      <c r="L205" s="33">
        <v>0</v>
      </c>
      <c r="M205" s="33">
        <v>0</v>
      </c>
      <c r="N205" s="34">
        <f>IFERROR(K205-L205-M205," ")</f>
        <v>48</v>
      </c>
      <c r="O205" s="30" t="str">
        <f>"Sauce - Teriyaki"</f>
        <v>Sauce - Teriyaki</v>
      </c>
      <c r="P205" s="30" t="str">
        <f>"4 - 1 gal"</f>
        <v>4 - 1 gal</v>
      </c>
      <c r="Q205" s="30" t="str">
        <f>"CASE"</f>
        <v>CASE</v>
      </c>
      <c r="R205" s="30" t="str">
        <f>"DRY"</f>
        <v>DRY</v>
      </c>
      <c r="S205" s="30" t="str">
        <f>"DON"</f>
        <v>DON</v>
      </c>
      <c r="T205" s="30">
        <v>36</v>
      </c>
      <c r="U205" s="44">
        <v>0</v>
      </c>
      <c r="V205" s="36">
        <f>IFERROR($U205*$J205," ")</f>
        <v>0</v>
      </c>
    </row>
    <row r="206" spans="1:22" ht="27.75" customHeight="1" x14ac:dyDescent="0.3">
      <c r="A206" t="s">
        <v>45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t="27.75" customHeight="1" x14ac:dyDescent="0.3">
      <c r="A207" t="s">
        <v>45</v>
      </c>
      <c r="F207" s="1" t="str">
        <f>G207</f>
        <v>27</v>
      </c>
      <c r="G207" s="3" t="str">
        <f>"27"</f>
        <v>27</v>
      </c>
      <c r="H207" s="4"/>
      <c r="I207" s="30"/>
      <c r="J207" s="21" t="str">
        <f>"Vegetables - Canned &amp; Frozen"</f>
        <v>Vegetables - Canned &amp; Frozen</v>
      </c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27.75" customHeight="1" x14ac:dyDescent="0.3">
      <c r="A208" t="s">
        <v>45</v>
      </c>
      <c r="B208" t="str">
        <f t="shared" ref="B208" si="40">IF(N208=0,"hide","")</f>
        <v/>
      </c>
      <c r="F208" s="1" t="str">
        <f>F207</f>
        <v>27</v>
      </c>
      <c r="G208" s="3"/>
      <c r="H208" s="4" t="str">
        <f>"""Ceres 5 "",""SHNLFB - Duluth - LIVE"",""27"",""1"",""10555"""</f>
        <v>"Ceres 5 ","SHNLFB - Duluth - LIVE","27","1","10555"</v>
      </c>
      <c r="I208" s="30" t="str">
        <f>"10555"</f>
        <v>10555</v>
      </c>
      <c r="J208" s="31"/>
      <c r="K208" s="32">
        <v>98</v>
      </c>
      <c r="L208" s="33">
        <v>58</v>
      </c>
      <c r="M208" s="33">
        <v>0</v>
      </c>
      <c r="N208" s="34">
        <f>IFERROR(K208-L208-M208," ")</f>
        <v>40</v>
      </c>
      <c r="O208" s="30" t="str">
        <f>"HW-Vegetables - Green Beans"</f>
        <v>HW-Vegetables - Green Beans</v>
      </c>
      <c r="P208" s="30" t="str">
        <f>"24- 14.5 oz cans"</f>
        <v>24- 14.5 oz cans</v>
      </c>
      <c r="Q208" s="30" t="str">
        <f>"CASE"</f>
        <v>CASE</v>
      </c>
      <c r="R208" s="30" t="str">
        <f>"DRY"</f>
        <v>DRY</v>
      </c>
      <c r="S208" s="30" t="str">
        <f>"BBPUR"</f>
        <v>BBPUR</v>
      </c>
      <c r="T208" s="30">
        <v>27</v>
      </c>
      <c r="U208" s="44">
        <v>15.044788499999999</v>
      </c>
      <c r="V208" s="36">
        <f>IFERROR($U208*$J208," ")</f>
        <v>0</v>
      </c>
    </row>
    <row r="209" spans="1:22" ht="27.75" customHeight="1" x14ac:dyDescent="0.3">
      <c r="A209" t="s">
        <v>45</v>
      </c>
      <c r="B209" t="str">
        <f t="shared" ref="B209:B219" si="41">IF(N209=0,"hide","")</f>
        <v/>
      </c>
      <c r="F209" s="1" t="str">
        <f>F208</f>
        <v>27</v>
      </c>
      <c r="G209" s="3"/>
      <c r="H209" s="4" t="str">
        <f>"""Ceres 5 "",""SHNLFB - Duluth - LIVE"",""27"",""1"",""10633"""</f>
        <v>"Ceres 5 ","SHNLFB - Duluth - LIVE","27","1","10633"</v>
      </c>
      <c r="I209" s="30" t="str">
        <f>"10633"</f>
        <v>10633</v>
      </c>
      <c r="J209" s="31"/>
      <c r="K209" s="32">
        <v>105</v>
      </c>
      <c r="L209" s="33">
        <v>22</v>
      </c>
      <c r="M209" s="33">
        <v>0</v>
      </c>
      <c r="N209" s="34">
        <f>IFERROR(K209-L209-M209," ")</f>
        <v>83</v>
      </c>
      <c r="O209" s="30" t="str">
        <f>"HW-Vegetables - Mixed"</f>
        <v>HW-Vegetables - Mixed</v>
      </c>
      <c r="P209" s="30" t="str">
        <f>"24-15 oz cans"</f>
        <v>24-15 oz cans</v>
      </c>
      <c r="Q209" s="30" t="str">
        <f>"CASE"</f>
        <v>CASE</v>
      </c>
      <c r="R209" s="30" t="str">
        <f>"DRY"</f>
        <v>DRY</v>
      </c>
      <c r="S209" s="30" t="str">
        <f>"BBPUR"</f>
        <v>BBPUR</v>
      </c>
      <c r="T209" s="30">
        <v>27</v>
      </c>
      <c r="U209" s="44">
        <v>15.6835035</v>
      </c>
      <c r="V209" s="36">
        <f>IFERROR($U209*$J209," ")</f>
        <v>0</v>
      </c>
    </row>
    <row r="210" spans="1:22" ht="27.75" customHeight="1" x14ac:dyDescent="0.3">
      <c r="A210" t="s">
        <v>45</v>
      </c>
      <c r="B210" t="str">
        <f t="shared" si="41"/>
        <v/>
      </c>
      <c r="F210" s="1" t="str">
        <f>F209</f>
        <v>27</v>
      </c>
      <c r="G210" s="3"/>
      <c r="H210" s="4" t="str">
        <f>"""Ceres 5 "",""SHNLFB - Duluth - LIVE"",""27"",""1"",""10577"""</f>
        <v>"Ceres 5 ","SHNLFB - Duluth - LIVE","27","1","10577"</v>
      </c>
      <c r="I210" s="30" t="str">
        <f>"10577"</f>
        <v>10577</v>
      </c>
      <c r="J210" s="31"/>
      <c r="K210" s="32">
        <v>76</v>
      </c>
      <c r="L210" s="33">
        <v>13</v>
      </c>
      <c r="M210" s="33">
        <v>0</v>
      </c>
      <c r="N210" s="34">
        <f>IFERROR(K210-L210-M210," ")</f>
        <v>63</v>
      </c>
      <c r="O210" s="30" t="str">
        <f>"HW-Vegetables - Potatoes, Au Gratin"</f>
        <v>HW-Vegetables - Potatoes, Au Gratin</v>
      </c>
      <c r="P210" s="30" t="str">
        <f>"12-4.4 oz boxes"</f>
        <v>12-4.4 oz boxes</v>
      </c>
      <c r="Q210" s="30" t="str">
        <f>"CASE"</f>
        <v>CASE</v>
      </c>
      <c r="R210" s="30" t="str">
        <f>"DRY"</f>
        <v>DRY</v>
      </c>
      <c r="S210" s="30" t="str">
        <f>"BBPUR"</f>
        <v>BBPUR</v>
      </c>
      <c r="T210" s="30">
        <v>6</v>
      </c>
      <c r="U210" s="44">
        <v>9.9960000000000004</v>
      </c>
      <c r="V210" s="36">
        <f>IFERROR($U210*$J210," ")</f>
        <v>0</v>
      </c>
    </row>
    <row r="211" spans="1:22" ht="27.75" customHeight="1" x14ac:dyDescent="0.3">
      <c r="A211" t="s">
        <v>45</v>
      </c>
      <c r="B211" t="str">
        <f t="shared" si="41"/>
        <v/>
      </c>
      <c r="F211" s="1" t="str">
        <f>F210</f>
        <v>27</v>
      </c>
      <c r="G211" s="3"/>
      <c r="H211" s="4" t="str">
        <f>"""Ceres 5 "",""SHNLFB - Duluth - LIVE"",""27"",""1"",""10576"""</f>
        <v>"Ceres 5 ","SHNLFB - Duluth - LIVE","27","1","10576"</v>
      </c>
      <c r="I211" s="30" t="str">
        <f>"10576"</f>
        <v>10576</v>
      </c>
      <c r="J211" s="31"/>
      <c r="K211" s="32">
        <v>40</v>
      </c>
      <c r="L211" s="33">
        <v>15</v>
      </c>
      <c r="M211" s="33">
        <v>0</v>
      </c>
      <c r="N211" s="34">
        <f>IFERROR(K211-L211-M211," ")</f>
        <v>25</v>
      </c>
      <c r="O211" s="30" t="str">
        <f>"HW-Vegetables - Potatoes, Scalloped"</f>
        <v>HW-Vegetables - Potatoes, Scalloped</v>
      </c>
      <c r="P211" s="30" t="str">
        <f>"12-4.4 oz boxes"</f>
        <v>12-4.4 oz boxes</v>
      </c>
      <c r="Q211" s="30" t="str">
        <f>"CASE"</f>
        <v>CASE</v>
      </c>
      <c r="R211" s="30" t="str">
        <f>"DRY"</f>
        <v>DRY</v>
      </c>
      <c r="S211" s="30" t="str">
        <f>"BBPUR"</f>
        <v>BBPUR</v>
      </c>
      <c r="T211" s="30">
        <v>6</v>
      </c>
      <c r="U211" s="44">
        <v>11.592000000000001</v>
      </c>
      <c r="V211" s="36">
        <f>IFERROR($U211*$J211," ")</f>
        <v>0</v>
      </c>
    </row>
    <row r="212" spans="1:22" ht="27.75" customHeight="1" x14ac:dyDescent="0.3">
      <c r="A212" t="s">
        <v>45</v>
      </c>
      <c r="B212" t="str">
        <f t="shared" si="41"/>
        <v/>
      </c>
      <c r="F212" s="1" t="str">
        <f>F211</f>
        <v>27</v>
      </c>
      <c r="G212" s="3"/>
      <c r="H212" s="4" t="str">
        <f>"""Ceres 5 "",""SHNLFB - Duluth - LIVE"",""27"",""1"",""12483"""</f>
        <v>"Ceres 5 ","SHNLFB - Duluth - LIVE","27","1","12483"</v>
      </c>
      <c r="I212" s="30" t="str">
        <f>"12483"</f>
        <v>12483</v>
      </c>
      <c r="J212" s="31"/>
      <c r="K212" s="32">
        <v>59</v>
      </c>
      <c r="L212" s="33">
        <v>1</v>
      </c>
      <c r="M212" s="33">
        <v>0</v>
      </c>
      <c r="N212" s="34">
        <f>IFERROR(K212-L212-M212," ")</f>
        <v>58</v>
      </c>
      <c r="O212" s="30" t="str">
        <f>"HW-Vegetables - Sliced Potatoes "</f>
        <v xml:space="preserve">HW-Vegetables - Sliced Potatoes </v>
      </c>
      <c r="P212" s="30" t="str">
        <f>"24 - 15 oz "</f>
        <v xml:space="preserve">24 - 15 oz </v>
      </c>
      <c r="Q212" s="30" t="str">
        <f>"CASE"</f>
        <v>CASE</v>
      </c>
      <c r="R212" s="30" t="str">
        <f>"DRY"</f>
        <v>DRY</v>
      </c>
      <c r="S212" s="30" t="str">
        <f>"BBPUR"</f>
        <v>BBPUR</v>
      </c>
      <c r="T212" s="30">
        <v>26</v>
      </c>
      <c r="U212" s="44">
        <v>18.0075</v>
      </c>
      <c r="V212" s="36">
        <f>IFERROR($U212*$J212," ")</f>
        <v>0</v>
      </c>
    </row>
    <row r="213" spans="1:22" ht="27.75" customHeight="1" x14ac:dyDescent="0.3">
      <c r="A213" t="s">
        <v>45</v>
      </c>
      <c r="B213" t="str">
        <f t="shared" si="41"/>
        <v/>
      </c>
      <c r="F213" s="1" t="str">
        <f>F212</f>
        <v>27</v>
      </c>
      <c r="G213" s="3"/>
      <c r="H213" s="4" t="str">
        <f>"""Ceres 5 "",""SHNLFB - Duluth - LIVE"",""27"",""1"",""10366"""</f>
        <v>"Ceres 5 ","SHNLFB - Duluth - LIVE","27","1","10366"</v>
      </c>
      <c r="I213" s="30" t="str">
        <f>"10366"</f>
        <v>10366</v>
      </c>
      <c r="J213" s="31"/>
      <c r="K213" s="32">
        <v>53</v>
      </c>
      <c r="L213" s="33">
        <v>28</v>
      </c>
      <c r="M213" s="33">
        <v>0</v>
      </c>
      <c r="N213" s="34">
        <f>IFERROR(K213-L213-M213," ")</f>
        <v>25</v>
      </c>
      <c r="O213" s="30" t="str">
        <f>"HW-Vegetables - Sweet Peas"</f>
        <v>HW-Vegetables - Sweet Peas</v>
      </c>
      <c r="P213" s="30" t="str">
        <f>"24-15 oz"</f>
        <v>24-15 oz</v>
      </c>
      <c r="Q213" s="30" t="str">
        <f>"CASE"</f>
        <v>CASE</v>
      </c>
      <c r="R213" s="30" t="str">
        <f>"DRY"</f>
        <v>DRY</v>
      </c>
      <c r="S213" s="30" t="str">
        <f>"BBPUR"</f>
        <v>BBPUR</v>
      </c>
      <c r="T213" s="30">
        <v>27</v>
      </c>
      <c r="U213" s="44">
        <v>15.12</v>
      </c>
      <c r="V213" s="36">
        <f>IFERROR($U213*$J213," ")</f>
        <v>0</v>
      </c>
    </row>
    <row r="214" spans="1:22" ht="27.75" customHeight="1" x14ac:dyDescent="0.3">
      <c r="A214" t="s">
        <v>45</v>
      </c>
      <c r="B214" t="str">
        <f t="shared" si="41"/>
        <v/>
      </c>
      <c r="F214" s="1" t="str">
        <f>F213</f>
        <v>27</v>
      </c>
      <c r="G214" s="3"/>
      <c r="H214" s="4" t="str">
        <f>"""Ceres 5 "",""SHNLFB - Duluth - LIVE"",""27"",""1"",""13046"""</f>
        <v>"Ceres 5 ","SHNLFB - Duluth - LIVE","27","1","13046"</v>
      </c>
      <c r="I214" s="30" t="str">
        <f>"13046"</f>
        <v>13046</v>
      </c>
      <c r="J214" s="31"/>
      <c r="K214" s="32">
        <v>76</v>
      </c>
      <c r="L214" s="33">
        <v>22</v>
      </c>
      <c r="M214" s="33">
        <v>0</v>
      </c>
      <c r="N214" s="34">
        <f>IFERROR(K214-L214-M214," ")</f>
        <v>54</v>
      </c>
      <c r="O214" s="30" t="str">
        <f>"HW-Vegetables - Tomatoes, Diced"</f>
        <v>HW-Vegetables - Tomatoes, Diced</v>
      </c>
      <c r="P214" s="30" t="str">
        <f>"12 - 14.5 oz"</f>
        <v>12 - 14.5 oz</v>
      </c>
      <c r="Q214" s="30" t="str">
        <f>"CASE"</f>
        <v>CASE</v>
      </c>
      <c r="R214" s="30" t="str">
        <f>"DRY"</f>
        <v>DRY</v>
      </c>
      <c r="S214" s="30" t="str">
        <f>"BBPUR"</f>
        <v>BBPUR</v>
      </c>
      <c r="T214" s="30">
        <v>13</v>
      </c>
      <c r="U214" s="44">
        <v>7.8644999999999996</v>
      </c>
      <c r="V214" s="36">
        <f>IFERROR($U214*$J214," ")</f>
        <v>0</v>
      </c>
    </row>
    <row r="215" spans="1:22" ht="27.75" customHeight="1" x14ac:dyDescent="0.3">
      <c r="A215" t="s">
        <v>45</v>
      </c>
      <c r="B215" t="str">
        <f t="shared" si="41"/>
        <v/>
      </c>
      <c r="F215" s="1" t="str">
        <f>F214</f>
        <v>27</v>
      </c>
      <c r="G215" s="3"/>
      <c r="H215" s="4" t="str">
        <f>"""Ceres 5 "",""SHNLFB - Duluth - LIVE"",""27"",""1"",""10740"""</f>
        <v>"Ceres 5 ","SHNLFB - Duluth - LIVE","27","1","10740"</v>
      </c>
      <c r="I215" s="30" t="str">
        <f>"10740"</f>
        <v>10740</v>
      </c>
      <c r="J215" s="31"/>
      <c r="K215" s="32">
        <v>52</v>
      </c>
      <c r="L215" s="33">
        <v>7</v>
      </c>
      <c r="M215" s="33">
        <v>0</v>
      </c>
      <c r="N215" s="34">
        <f>IFERROR(K215-L215-M215," ")</f>
        <v>45</v>
      </c>
      <c r="O215" s="30" t="str">
        <f>"HW-Vegetables - Whole Corn"</f>
        <v>HW-Vegetables - Whole Corn</v>
      </c>
      <c r="P215" s="30" t="str">
        <f>"24-15/15.25 oz"</f>
        <v>24-15/15.25 oz</v>
      </c>
      <c r="Q215" s="30" t="str">
        <f>"CASE"</f>
        <v>CASE</v>
      </c>
      <c r="R215" s="30" t="str">
        <f>"DRY"</f>
        <v>DRY</v>
      </c>
      <c r="S215" s="30" t="str">
        <f>"BBPUR"</f>
        <v>BBPUR</v>
      </c>
      <c r="T215" s="30">
        <v>27</v>
      </c>
      <c r="U215" s="44">
        <v>13.7445</v>
      </c>
      <c r="V215" s="36">
        <f>IFERROR($U215*$J215," ")</f>
        <v>0</v>
      </c>
    </row>
    <row r="216" spans="1:22" ht="27.75" customHeight="1" x14ac:dyDescent="0.3">
      <c r="A216" t="s">
        <v>45</v>
      </c>
      <c r="B216" t="str">
        <f t="shared" si="41"/>
        <v/>
      </c>
      <c r="F216" s="1" t="str">
        <f>F215</f>
        <v>27</v>
      </c>
      <c r="G216" s="3"/>
      <c r="H216" s="4" t="str">
        <f>"""Ceres 5 "",""SHNLFB - Duluth - LIVE"",""27"",""1"",""10810"""</f>
        <v>"Ceres 5 ","SHNLFB - Duluth - LIVE","27","1","10810"</v>
      </c>
      <c r="I216" s="30" t="str">
        <f>"10810"</f>
        <v>10810</v>
      </c>
      <c r="J216" s="31"/>
      <c r="K216" s="32">
        <v>94</v>
      </c>
      <c r="L216" s="33">
        <v>0</v>
      </c>
      <c r="M216" s="33">
        <v>0</v>
      </c>
      <c r="N216" s="34">
        <f>IFERROR(K216-L216-M216," ")</f>
        <v>94</v>
      </c>
      <c r="O216" s="30" t="str">
        <f>"Vegetables - Green Beans"</f>
        <v>Vegetables - Green Beans</v>
      </c>
      <c r="P216" s="30" t="str">
        <f>"3 - 105 oz"</f>
        <v>3 - 105 oz</v>
      </c>
      <c r="Q216" s="30" t="str">
        <f>"CASE"</f>
        <v>CASE</v>
      </c>
      <c r="R216" s="30" t="str">
        <f>"DRY"</f>
        <v>DRY</v>
      </c>
      <c r="S216" s="30" t="str">
        <f>"DON"</f>
        <v>DON</v>
      </c>
      <c r="T216" s="30">
        <v>22</v>
      </c>
      <c r="U216" s="44">
        <v>4.18</v>
      </c>
      <c r="V216" s="36">
        <f>IFERROR($U216*$J216," ")</f>
        <v>0</v>
      </c>
    </row>
    <row r="217" spans="1:22" ht="27.75" customHeight="1" x14ac:dyDescent="0.3">
      <c r="A217" t="s">
        <v>45</v>
      </c>
      <c r="B217" t="str">
        <f t="shared" si="41"/>
        <v/>
      </c>
      <c r="F217" s="1" t="str">
        <f>F216</f>
        <v>27</v>
      </c>
      <c r="G217" s="3"/>
      <c r="H217" s="4" t="str">
        <f>"""Ceres 5 "",""SHNLFB - Duluth - LIVE"",""27"",""1"",""11861"""</f>
        <v>"Ceres 5 ","SHNLFB - Duluth - LIVE","27","1","11861"</v>
      </c>
      <c r="I217" s="30" t="str">
        <f>"11861"</f>
        <v>11861</v>
      </c>
      <c r="J217" s="31"/>
      <c r="K217" s="32">
        <v>31</v>
      </c>
      <c r="L217" s="33">
        <v>23</v>
      </c>
      <c r="M217" s="33">
        <v>0</v>
      </c>
      <c r="N217" s="34">
        <f>IFERROR(K217-L217-M217," ")</f>
        <v>8</v>
      </c>
      <c r="O217" s="30" t="str">
        <f>"Vegetables - Riced Sweet Potatoes"</f>
        <v>Vegetables - Riced Sweet Potatoes</v>
      </c>
      <c r="P217" s="30" t="str">
        <f>"6 - 12 oz"</f>
        <v>6 - 12 oz</v>
      </c>
      <c r="Q217" s="30" t="str">
        <f>"CASE"</f>
        <v>CASE</v>
      </c>
      <c r="R217" s="30" t="str">
        <f>"FROZEN"</f>
        <v>FROZEN</v>
      </c>
      <c r="S217" s="30" t="str">
        <f>"DON"</f>
        <v>DON</v>
      </c>
      <c r="T217" s="30">
        <v>7</v>
      </c>
      <c r="U217" s="44">
        <v>0</v>
      </c>
      <c r="V217" s="36">
        <f>IFERROR($U217*$J217," ")</f>
        <v>0</v>
      </c>
    </row>
    <row r="218" spans="1:22" ht="27.75" customHeight="1" x14ac:dyDescent="0.3">
      <c r="A218" t="s">
        <v>45</v>
      </c>
      <c r="B218" t="str">
        <f t="shared" si="41"/>
        <v/>
      </c>
      <c r="F218" s="1" t="str">
        <f>F217</f>
        <v>27</v>
      </c>
      <c r="G218" s="3"/>
      <c r="H218" s="4" t="str">
        <f>"""Ceres 5 "",""SHNLFB - Duluth - LIVE"",""27"",""1"",""10436"""</f>
        <v>"Ceres 5 ","SHNLFB - Duluth - LIVE","27","1","10436"</v>
      </c>
      <c r="I218" s="30" t="str">
        <f>"10436"</f>
        <v>10436</v>
      </c>
      <c r="J218" s="31"/>
      <c r="K218" s="32">
        <v>22</v>
      </c>
      <c r="L218" s="33">
        <v>0</v>
      </c>
      <c r="M218" s="33">
        <v>0</v>
      </c>
      <c r="N218" s="34">
        <f>IFERROR(K218-L218-M218," ")</f>
        <v>22</v>
      </c>
      <c r="O218" s="30" t="str">
        <f>"Vegetables - Tomatoes (Crushed, Diced,Peeled)"</f>
        <v>Vegetables - Tomatoes (Crushed, Diced,Peeled)</v>
      </c>
      <c r="P218" s="30" t="str">
        <f>"6 - #10 cans"</f>
        <v>6 - #10 cans</v>
      </c>
      <c r="Q218" s="30" t="str">
        <f>"CASE"</f>
        <v>CASE</v>
      </c>
      <c r="R218" s="30" t="str">
        <f>"DRY"</f>
        <v>DRY</v>
      </c>
      <c r="S218" s="30" t="str">
        <f>"DON"</f>
        <v>DON</v>
      </c>
      <c r="T218" s="30">
        <v>43</v>
      </c>
      <c r="U218" s="44">
        <v>0</v>
      </c>
      <c r="V218" s="36">
        <f>IFERROR($U218*$J218," ")</f>
        <v>0</v>
      </c>
    </row>
    <row r="219" spans="1:22" ht="27.75" customHeight="1" x14ac:dyDescent="0.3">
      <c r="A219" t="s">
        <v>45</v>
      </c>
      <c r="B219" t="str">
        <f t="shared" si="41"/>
        <v/>
      </c>
      <c r="F219" s="1" t="str">
        <f>F218</f>
        <v>27</v>
      </c>
      <c r="G219" s="3"/>
      <c r="H219" s="4" t="str">
        <f>"""Ceres 5 "",""SHNLFB - Duluth - LIVE"",""27"",""1"",""12349"""</f>
        <v>"Ceres 5 ","SHNLFB - Duluth - LIVE","27","1","12349"</v>
      </c>
      <c r="I219" s="30" t="str">
        <f>"12349"</f>
        <v>12349</v>
      </c>
      <c r="J219" s="31"/>
      <c r="K219" s="32">
        <v>59</v>
      </c>
      <c r="L219" s="33">
        <v>0</v>
      </c>
      <c r="M219" s="33">
        <v>0</v>
      </c>
      <c r="N219" s="34">
        <f>IFERROR(K219-L219-M219," ")</f>
        <v>59</v>
      </c>
      <c r="O219" s="30" t="str">
        <f>"Vegetables - Tomatoes, Crushed"</f>
        <v>Vegetables - Tomatoes, Crushed</v>
      </c>
      <c r="P219" s="30" t="str">
        <f>"1 - 25 lb bag"</f>
        <v>1 - 25 lb bag</v>
      </c>
      <c r="Q219" s="30" t="str">
        <f>"CASE"</f>
        <v>CASE</v>
      </c>
      <c r="R219" s="30" t="str">
        <f>"DRY"</f>
        <v>DRY</v>
      </c>
      <c r="S219" s="30" t="str">
        <f>"DON"</f>
        <v>DON</v>
      </c>
      <c r="T219" s="30">
        <v>25</v>
      </c>
      <c r="U219" s="44">
        <v>0</v>
      </c>
      <c r="V219" s="36">
        <f>IFERROR($U219*$J219," ")</f>
        <v>0</v>
      </c>
    </row>
    <row r="220" spans="1:22" ht="27.75" customHeight="1" x14ac:dyDescent="0.3">
      <c r="A220" t="s">
        <v>45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t="27.75" customHeight="1" x14ac:dyDescent="0.3">
      <c r="A221" t="s">
        <v>45</v>
      </c>
      <c r="F221" s="1" t="str">
        <f>G221</f>
        <v>29</v>
      </c>
      <c r="G221" s="3" t="str">
        <f>"29"</f>
        <v>29</v>
      </c>
      <c r="H221" s="4"/>
      <c r="I221" s="30"/>
      <c r="J221" s="21" t="str">
        <f>"Dough - Uncooked"</f>
        <v>Dough - Uncooked</v>
      </c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27.75" customHeight="1" x14ac:dyDescent="0.3">
      <c r="A222" t="s">
        <v>45</v>
      </c>
      <c r="B222" t="str">
        <f t="shared" ref="B222" si="42">IF(N222=0,"hide","")</f>
        <v/>
      </c>
      <c r="F222" s="1" t="str">
        <f>F221</f>
        <v>29</v>
      </c>
      <c r="G222" s="3"/>
      <c r="H222" s="4" t="str">
        <f>"""Ceres 5 "",""SHNLFB - Duluth - LIVE"",""27"",""1"",""11423"""</f>
        <v>"Ceres 5 ","SHNLFB - Duluth - LIVE","27","1","11423"</v>
      </c>
      <c r="I222" s="30" t="str">
        <f>"11423"</f>
        <v>11423</v>
      </c>
      <c r="J222" s="31"/>
      <c r="K222" s="32">
        <v>88</v>
      </c>
      <c r="L222" s="33">
        <v>6</v>
      </c>
      <c r="M222" s="33">
        <v>0</v>
      </c>
      <c r="N222" s="34">
        <f>IFERROR(K222-L222-M222," ")</f>
        <v>82</v>
      </c>
      <c r="O222" s="30" t="str">
        <f>"Dough - Cheese and Garlic Biscuit"</f>
        <v>Dough - Cheese and Garlic Biscuit</v>
      </c>
      <c r="P222" s="30" t="str">
        <f>"90 - 3.7 oz"</f>
        <v>90 - 3.7 oz</v>
      </c>
      <c r="Q222" s="30" t="str">
        <f>"CASE"</f>
        <v>CASE</v>
      </c>
      <c r="R222" s="30" t="str">
        <f>"FROZEN"</f>
        <v>FROZEN</v>
      </c>
      <c r="S222" s="30" t="str">
        <f>"DON"</f>
        <v>DON</v>
      </c>
      <c r="T222" s="30">
        <v>21</v>
      </c>
      <c r="U222" s="44">
        <v>0</v>
      </c>
      <c r="V222" s="36">
        <f>IFERROR($U222*$J222," ")</f>
        <v>0</v>
      </c>
    </row>
    <row r="223" spans="1:22" ht="27.75" customHeight="1" x14ac:dyDescent="0.3">
      <c r="A223" t="s">
        <v>45</v>
      </c>
      <c r="B223" t="str">
        <f t="shared" ref="B223" si="43">IF(N223=0,"hide","")</f>
        <v/>
      </c>
      <c r="F223" s="1" t="str">
        <f>F222</f>
        <v>29</v>
      </c>
      <c r="G223" s="3"/>
      <c r="H223" s="4" t="str">
        <f>"""Ceres 5 "",""SHNLFB - Duluth - LIVE"",""27"",""1"",""10748"""</f>
        <v>"Ceres 5 ","SHNLFB - Duluth - LIVE","27","1","10748"</v>
      </c>
      <c r="I223" s="30" t="str">
        <f>"10748"</f>
        <v>10748</v>
      </c>
      <c r="J223" s="31"/>
      <c r="K223" s="32">
        <v>80</v>
      </c>
      <c r="L223" s="33">
        <v>10</v>
      </c>
      <c r="M223" s="33">
        <v>0</v>
      </c>
      <c r="N223" s="34">
        <f>IFERROR(K223-L223-M223," ")</f>
        <v>70</v>
      </c>
      <c r="O223" s="30" t="str">
        <f>"Dough - Cookie"</f>
        <v>Dough - Cookie</v>
      </c>
      <c r="P223" s="30" t="str">
        <f>"12 - 16 oz"</f>
        <v>12 - 16 oz</v>
      </c>
      <c r="Q223" s="30" t="str">
        <f>"CASE"</f>
        <v>CASE</v>
      </c>
      <c r="R223" s="30" t="str">
        <f>"FROZEN"</f>
        <v>FROZEN</v>
      </c>
      <c r="S223" s="30" t="str">
        <f>"DON"</f>
        <v>DON</v>
      </c>
      <c r="T223" s="30">
        <v>14</v>
      </c>
      <c r="U223" s="44">
        <v>0</v>
      </c>
      <c r="V223" s="36">
        <f>IFERROR($U223*$J223," ")</f>
        <v>0</v>
      </c>
    </row>
    <row r="224" spans="1:22" ht="27.75" customHeight="1" x14ac:dyDescent="0.3">
      <c r="A224" t="s">
        <v>45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t="27.75" customHeight="1" x14ac:dyDescent="0.3">
      <c r="A225" t="s">
        <v>45</v>
      </c>
      <c r="F225" s="1" t="str">
        <f>G225</f>
        <v>31</v>
      </c>
      <c r="G225" s="3" t="str">
        <f>"31"</f>
        <v>31</v>
      </c>
      <c r="H225" s="4"/>
      <c r="I225" s="30"/>
      <c r="J225" s="21" t="str">
        <f>"Prepared and Perishable Food"</f>
        <v>Prepared and Perishable Food</v>
      </c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27.75" customHeight="1" x14ac:dyDescent="0.3">
      <c r="A226" t="s">
        <v>45</v>
      </c>
      <c r="B226" t="str">
        <f t="shared" ref="B226:B227" si="44">IF(N226=0,"hide","")</f>
        <v/>
      </c>
      <c r="F226" s="1" t="str">
        <f>F225</f>
        <v>31</v>
      </c>
      <c r="G226" s="3"/>
      <c r="H226" s="4" t="str">
        <f>"""Ceres 5 "",""SHNLFB - Duluth - LIVE"",""27"",""1"",""10011"""</f>
        <v>"Ceres 5 ","SHNLFB - Duluth - LIVE","27","1","10011"</v>
      </c>
      <c r="I226" s="30" t="str">
        <f>"10011"</f>
        <v>10011</v>
      </c>
      <c r="J226" s="31"/>
      <c r="K226" s="32">
        <v>1472</v>
      </c>
      <c r="L226" s="33">
        <v>1</v>
      </c>
      <c r="M226" s="33">
        <v>0</v>
      </c>
      <c r="N226" s="34">
        <f>IFERROR(K226-L226-M226," ")</f>
        <v>1471</v>
      </c>
      <c r="O226" s="30" t="str">
        <f>"Assorted Deli Items"</f>
        <v>Assorted Deli Items</v>
      </c>
      <c r="P226" s="30" t="str">
        <f>"1 Pallet"</f>
        <v>1 Pallet</v>
      </c>
      <c r="Q226" s="30" t="str">
        <f>"CONTAINER"</f>
        <v>CONTAINER</v>
      </c>
      <c r="R226" s="30" t="str">
        <f>"FROZEN"</f>
        <v>FROZEN</v>
      </c>
      <c r="S226" s="30" t="str">
        <f>"DON"</f>
        <v>DON</v>
      </c>
      <c r="T226" s="30">
        <v>1</v>
      </c>
      <c r="U226" s="44">
        <v>0</v>
      </c>
      <c r="V226" s="36">
        <f>IFERROR($U226*$J226," ")</f>
        <v>0</v>
      </c>
    </row>
    <row r="227" spans="1:22" ht="27.75" customHeight="1" x14ac:dyDescent="0.3">
      <c r="A227" t="s">
        <v>45</v>
      </c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t="27.75" customHeight="1" x14ac:dyDescent="0.3">
      <c r="I228" s="30"/>
      <c r="J228" s="30"/>
      <c r="K228" s="30"/>
      <c r="L228" s="30"/>
      <c r="M228" s="30"/>
      <c r="N228" s="30"/>
      <c r="O228" s="37"/>
      <c r="P228" s="30"/>
      <c r="Q228" s="30"/>
      <c r="R228" s="30"/>
      <c r="S228" s="30"/>
      <c r="T228" s="30"/>
      <c r="U228" s="30"/>
      <c r="V228" s="35"/>
    </row>
    <row r="229" spans="1:22" ht="27.75" customHeight="1" x14ac:dyDescent="0.3">
      <c r="I229" s="30"/>
      <c r="J229" s="30"/>
      <c r="K229" s="30"/>
      <c r="L229" s="30"/>
      <c r="M229" s="30"/>
      <c r="N229" s="30"/>
      <c r="O229" s="37"/>
      <c r="P229" s="30"/>
      <c r="Q229" s="30"/>
      <c r="R229" s="30"/>
      <c r="S229" s="30"/>
      <c r="T229" s="49"/>
      <c r="U229" s="49"/>
      <c r="V229" s="38"/>
    </row>
    <row r="230" spans="1:22" ht="27.75" customHeight="1" x14ac:dyDescent="0.3">
      <c r="I230" s="30"/>
      <c r="J230" s="30"/>
      <c r="K230" s="30"/>
      <c r="L230" s="30"/>
      <c r="M230" s="30"/>
      <c r="N230" s="30"/>
      <c r="O230" s="37"/>
      <c r="P230" s="30"/>
      <c r="Q230" s="30"/>
      <c r="R230" s="30"/>
      <c r="S230" s="30"/>
      <c r="T230" s="30"/>
      <c r="U230" s="39"/>
      <c r="V230" s="40"/>
    </row>
  </sheetData>
  <mergeCells count="5">
    <mergeCell ref="J3:T3"/>
    <mergeCell ref="N6:O6"/>
    <mergeCell ref="I6:J6"/>
    <mergeCell ref="I8:J8"/>
    <mergeCell ref="T229:U229"/>
  </mergeCells>
  <pageMargins left="0.2" right="0.2" top="0.75" bottom="0.75" header="0.3" footer="0.3"/>
  <pageSetup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/>
  </sheetViews>
  <sheetFormatPr defaultRowHeight="15" x14ac:dyDescent="0.25"/>
  <sheetData>
    <row r="1" spans="1:22" x14ac:dyDescent="0.25">
      <c r="A1" s="41" t="s">
        <v>165</v>
      </c>
      <c r="B1" s="41" t="s">
        <v>94</v>
      </c>
      <c r="C1" s="41" t="s">
        <v>24</v>
      </c>
      <c r="D1" s="41" t="s">
        <v>28</v>
      </c>
      <c r="E1" s="41" t="s">
        <v>27</v>
      </c>
      <c r="F1" s="41" t="s">
        <v>0</v>
      </c>
      <c r="G1" s="41" t="s">
        <v>0</v>
      </c>
      <c r="H1" s="41" t="s">
        <v>0</v>
      </c>
      <c r="K1" s="41" t="s">
        <v>14</v>
      </c>
      <c r="L1" s="41" t="s">
        <v>14</v>
      </c>
      <c r="M1" s="41" t="s">
        <v>14</v>
      </c>
      <c r="V1" s="41" t="s">
        <v>21</v>
      </c>
    </row>
    <row r="2" spans="1:22" x14ac:dyDescent="0.25">
      <c r="A2" s="41" t="s">
        <v>25</v>
      </c>
      <c r="B2" s="41" t="s">
        <v>22</v>
      </c>
      <c r="C2" s="41" t="s">
        <v>298</v>
      </c>
      <c r="E2" s="41" t="s">
        <v>26</v>
      </c>
    </row>
    <row r="3" spans="1:22" x14ac:dyDescent="0.25">
      <c r="A3" s="41" t="s">
        <v>25</v>
      </c>
      <c r="B3" s="41" t="s">
        <v>3</v>
      </c>
      <c r="C3" s="41" t="s">
        <v>329</v>
      </c>
      <c r="D3" s="41" t="s">
        <v>29</v>
      </c>
      <c r="J3" s="41" t="s">
        <v>23</v>
      </c>
      <c r="U3" s="41" t="s">
        <v>10</v>
      </c>
      <c r="V3" s="41" t="s">
        <v>30</v>
      </c>
    </row>
    <row r="4" spans="1:22" x14ac:dyDescent="0.25">
      <c r="A4" s="41" t="s">
        <v>25</v>
      </c>
      <c r="B4" s="41" t="s">
        <v>161</v>
      </c>
      <c r="C4" s="41" t="s">
        <v>164</v>
      </c>
      <c r="D4" s="41" t="s">
        <v>162</v>
      </c>
      <c r="O4" s="41" t="s">
        <v>12</v>
      </c>
      <c r="U4" s="41" t="s">
        <v>11</v>
      </c>
      <c r="V4" s="41" t="s">
        <v>31</v>
      </c>
    </row>
    <row r="6" spans="1:22" x14ac:dyDescent="0.25">
      <c r="I6" s="41" t="s">
        <v>13</v>
      </c>
    </row>
    <row r="8" spans="1:22" x14ac:dyDescent="0.25">
      <c r="I8" s="41" t="s">
        <v>17</v>
      </c>
    </row>
    <row r="10" spans="1:22" x14ac:dyDescent="0.25">
      <c r="I10" s="41" t="s">
        <v>16</v>
      </c>
    </row>
    <row r="13" spans="1:22" x14ac:dyDescent="0.25">
      <c r="I13" s="41" t="s">
        <v>9</v>
      </c>
      <c r="J13" s="41" t="s">
        <v>8</v>
      </c>
      <c r="K13" s="41" t="s">
        <v>18</v>
      </c>
      <c r="L13" s="41" t="s">
        <v>19</v>
      </c>
      <c r="N13" s="41" t="s">
        <v>20</v>
      </c>
      <c r="O13" s="41" t="s">
        <v>1</v>
      </c>
      <c r="P13" s="41" t="s">
        <v>2</v>
      </c>
      <c r="Q13" s="41" t="s">
        <v>7</v>
      </c>
      <c r="R13" s="41" t="s">
        <v>6</v>
      </c>
      <c r="S13" s="41" t="s">
        <v>3</v>
      </c>
      <c r="T13" s="41" t="s">
        <v>5</v>
      </c>
      <c r="U13" s="41" t="s">
        <v>4</v>
      </c>
      <c r="V13" s="41" t="s">
        <v>15</v>
      </c>
    </row>
    <row r="14" spans="1:22" x14ac:dyDescent="0.25">
      <c r="F14" s="41" t="s">
        <v>32</v>
      </c>
      <c r="G14" s="41" t="s">
        <v>33</v>
      </c>
      <c r="J14" s="41" t="s">
        <v>34</v>
      </c>
    </row>
    <row r="15" spans="1:22" x14ac:dyDescent="0.25">
      <c r="B15" s="41" t="s">
        <v>91</v>
      </c>
      <c r="F15" s="41" t="s">
        <v>35</v>
      </c>
      <c r="H15" s="41" t="s">
        <v>163</v>
      </c>
      <c r="I15" s="41" t="s">
        <v>36</v>
      </c>
      <c r="K15" s="41" t="s">
        <v>37</v>
      </c>
      <c r="L15" s="41" t="s">
        <v>38</v>
      </c>
      <c r="M15" s="41" t="s">
        <v>85</v>
      </c>
      <c r="N15" s="41" t="s">
        <v>88</v>
      </c>
      <c r="O15" s="41" t="s">
        <v>39</v>
      </c>
      <c r="P15" s="41" t="s">
        <v>40</v>
      </c>
      <c r="Q15" s="41" t="s">
        <v>41</v>
      </c>
      <c r="R15" s="41" t="s">
        <v>42</v>
      </c>
      <c r="S15" s="41" t="s">
        <v>43</v>
      </c>
      <c r="T15" s="41" t="s">
        <v>44</v>
      </c>
      <c r="U15" s="41" t="s">
        <v>111</v>
      </c>
      <c r="V15" s="4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/>
  </sheetViews>
  <sheetFormatPr defaultRowHeight="15" x14ac:dyDescent="0.25"/>
  <sheetData>
    <row r="1" spans="1:22" x14ac:dyDescent="0.25">
      <c r="A1" s="41" t="s">
        <v>165</v>
      </c>
      <c r="B1" s="41" t="s">
        <v>94</v>
      </c>
      <c r="C1" s="41" t="s">
        <v>24</v>
      </c>
      <c r="D1" s="41" t="s">
        <v>28</v>
      </c>
      <c r="E1" s="41" t="s">
        <v>27</v>
      </c>
      <c r="F1" s="41" t="s">
        <v>0</v>
      </c>
      <c r="G1" s="41" t="s">
        <v>0</v>
      </c>
      <c r="H1" s="41" t="s">
        <v>0</v>
      </c>
      <c r="K1" s="41" t="s">
        <v>14</v>
      </c>
      <c r="L1" s="41" t="s">
        <v>14</v>
      </c>
      <c r="M1" s="41" t="s">
        <v>14</v>
      </c>
      <c r="V1" s="41" t="s">
        <v>21</v>
      </c>
    </row>
    <row r="2" spans="1:22" x14ac:dyDescent="0.25">
      <c r="A2" s="41" t="s">
        <v>25</v>
      </c>
      <c r="B2" s="41" t="s">
        <v>22</v>
      </c>
      <c r="C2" s="41" t="s">
        <v>298</v>
      </c>
      <c r="E2" s="41" t="s">
        <v>26</v>
      </c>
    </row>
    <row r="3" spans="1:22" x14ac:dyDescent="0.25">
      <c r="A3" s="41" t="s">
        <v>25</v>
      </c>
      <c r="B3" s="41" t="s">
        <v>3</v>
      </c>
      <c r="C3" s="41" t="s">
        <v>329</v>
      </c>
      <c r="D3" s="41" t="s">
        <v>29</v>
      </c>
      <c r="J3" s="41" t="s">
        <v>23</v>
      </c>
      <c r="U3" s="41" t="s">
        <v>10</v>
      </c>
      <c r="V3" s="41" t="s">
        <v>30</v>
      </c>
    </row>
    <row r="4" spans="1:22" x14ac:dyDescent="0.25">
      <c r="A4" s="41" t="s">
        <v>25</v>
      </c>
      <c r="B4" s="41" t="s">
        <v>161</v>
      </c>
      <c r="C4" s="41" t="s">
        <v>164</v>
      </c>
      <c r="D4" s="41" t="s">
        <v>162</v>
      </c>
      <c r="O4" s="41" t="s">
        <v>12</v>
      </c>
      <c r="U4" s="41" t="s">
        <v>11</v>
      </c>
      <c r="V4" s="41" t="s">
        <v>31</v>
      </c>
    </row>
    <row r="6" spans="1:22" x14ac:dyDescent="0.25">
      <c r="I6" s="41" t="s">
        <v>13</v>
      </c>
    </row>
    <row r="8" spans="1:22" x14ac:dyDescent="0.25">
      <c r="I8" s="41" t="s">
        <v>17</v>
      </c>
    </row>
    <row r="10" spans="1:22" x14ac:dyDescent="0.25">
      <c r="I10" s="41" t="s">
        <v>16</v>
      </c>
    </row>
    <row r="13" spans="1:22" x14ac:dyDescent="0.25">
      <c r="I13" s="41" t="s">
        <v>9</v>
      </c>
      <c r="J13" s="41" t="s">
        <v>8</v>
      </c>
      <c r="K13" s="41" t="s">
        <v>18</v>
      </c>
      <c r="L13" s="41" t="s">
        <v>19</v>
      </c>
      <c r="N13" s="41" t="s">
        <v>20</v>
      </c>
      <c r="O13" s="41" t="s">
        <v>1</v>
      </c>
      <c r="P13" s="41" t="s">
        <v>2</v>
      </c>
      <c r="Q13" s="41" t="s">
        <v>7</v>
      </c>
      <c r="R13" s="41" t="s">
        <v>6</v>
      </c>
      <c r="S13" s="41" t="s">
        <v>3</v>
      </c>
      <c r="T13" s="41" t="s">
        <v>5</v>
      </c>
      <c r="U13" s="41" t="s">
        <v>4</v>
      </c>
      <c r="V13" s="41" t="s">
        <v>15</v>
      </c>
    </row>
    <row r="14" spans="1:22" x14ac:dyDescent="0.25">
      <c r="F14" s="41" t="s">
        <v>32</v>
      </c>
      <c r="G14" s="41" t="s">
        <v>33</v>
      </c>
      <c r="J14" s="41" t="s">
        <v>34</v>
      </c>
    </row>
    <row r="15" spans="1:22" x14ac:dyDescent="0.25">
      <c r="B15" s="41" t="s">
        <v>91</v>
      </c>
      <c r="F15" s="41" t="s">
        <v>35</v>
      </c>
      <c r="H15" s="41" t="s">
        <v>163</v>
      </c>
      <c r="I15" s="41" t="s">
        <v>36</v>
      </c>
      <c r="K15" s="41" t="s">
        <v>37</v>
      </c>
      <c r="L15" s="41" t="s">
        <v>38</v>
      </c>
      <c r="M15" s="41" t="s">
        <v>85</v>
      </c>
      <c r="N15" s="41" t="s">
        <v>88</v>
      </c>
      <c r="O15" s="41" t="s">
        <v>39</v>
      </c>
      <c r="P15" s="41" t="s">
        <v>40</v>
      </c>
      <c r="Q15" s="41" t="s">
        <v>41</v>
      </c>
      <c r="R15" s="41" t="s">
        <v>42</v>
      </c>
      <c r="S15" s="41" t="s">
        <v>43</v>
      </c>
      <c r="T15" s="41" t="s">
        <v>44</v>
      </c>
      <c r="U15" s="41" t="s">
        <v>111</v>
      </c>
      <c r="V15" s="4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7"/>
  <sheetViews>
    <sheetView workbookViewId="0"/>
  </sheetViews>
  <sheetFormatPr defaultRowHeight="15" x14ac:dyDescent="0.25"/>
  <sheetData>
    <row r="1" spans="1:22" x14ac:dyDescent="0.25">
      <c r="A1" s="41" t="s">
        <v>293</v>
      </c>
      <c r="B1" s="41" t="s">
        <v>94</v>
      </c>
      <c r="C1" s="41" t="s">
        <v>24</v>
      </c>
      <c r="D1" s="41" t="s">
        <v>28</v>
      </c>
      <c r="E1" s="41" t="s">
        <v>27</v>
      </c>
      <c r="F1" s="41" t="s">
        <v>0</v>
      </c>
      <c r="G1" s="41" t="s">
        <v>0</v>
      </c>
      <c r="H1" s="41" t="s">
        <v>0</v>
      </c>
      <c r="K1" s="41" t="s">
        <v>14</v>
      </c>
      <c r="L1" s="41" t="s">
        <v>14</v>
      </c>
      <c r="M1" s="41" t="s">
        <v>14</v>
      </c>
      <c r="V1" s="41" t="s">
        <v>21</v>
      </c>
    </row>
    <row r="2" spans="1:22" x14ac:dyDescent="0.25">
      <c r="A2" s="41" t="s">
        <v>25</v>
      </c>
      <c r="B2" s="41" t="s">
        <v>22</v>
      </c>
      <c r="C2" s="41" t="s">
        <v>298</v>
      </c>
      <c r="E2" s="41" t="s">
        <v>26</v>
      </c>
    </row>
    <row r="3" spans="1:22" x14ac:dyDescent="0.25">
      <c r="A3" s="41" t="s">
        <v>25</v>
      </c>
      <c r="B3" s="41" t="s">
        <v>3</v>
      </c>
      <c r="C3" s="41" t="s">
        <v>329</v>
      </c>
      <c r="D3" s="41" t="s">
        <v>29</v>
      </c>
      <c r="J3" s="41" t="s">
        <v>23</v>
      </c>
      <c r="U3" s="41" t="s">
        <v>10</v>
      </c>
      <c r="V3" s="41" t="s">
        <v>30</v>
      </c>
    </row>
    <row r="4" spans="1:22" x14ac:dyDescent="0.25">
      <c r="A4" s="41" t="s">
        <v>25</v>
      </c>
      <c r="B4" s="41" t="s">
        <v>161</v>
      </c>
      <c r="C4" s="41" t="s">
        <v>164</v>
      </c>
      <c r="D4" s="41" t="s">
        <v>162</v>
      </c>
      <c r="O4" s="41" t="s">
        <v>12</v>
      </c>
      <c r="U4" s="41" t="s">
        <v>11</v>
      </c>
      <c r="V4" s="41" t="s">
        <v>31</v>
      </c>
    </row>
    <row r="6" spans="1:22" x14ac:dyDescent="0.25">
      <c r="I6" s="41" t="s">
        <v>13</v>
      </c>
    </row>
    <row r="8" spans="1:22" x14ac:dyDescent="0.25">
      <c r="I8" s="41" t="s">
        <v>17</v>
      </c>
    </row>
    <row r="10" spans="1:22" x14ac:dyDescent="0.25">
      <c r="I10" s="41" t="s">
        <v>16</v>
      </c>
    </row>
    <row r="13" spans="1:22" x14ac:dyDescent="0.25">
      <c r="I13" s="41" t="s">
        <v>9</v>
      </c>
      <c r="J13" s="41" t="s">
        <v>8</v>
      </c>
      <c r="K13" s="41" t="s">
        <v>18</v>
      </c>
      <c r="L13" s="41" t="s">
        <v>19</v>
      </c>
      <c r="N13" s="41" t="s">
        <v>20</v>
      </c>
      <c r="O13" s="41" t="s">
        <v>1</v>
      </c>
      <c r="P13" s="41" t="s">
        <v>2</v>
      </c>
      <c r="Q13" s="41" t="s">
        <v>7</v>
      </c>
      <c r="R13" s="41" t="s">
        <v>6</v>
      </c>
      <c r="S13" s="41" t="s">
        <v>3</v>
      </c>
      <c r="T13" s="41" t="s">
        <v>5</v>
      </c>
      <c r="U13" s="41" t="s">
        <v>4</v>
      </c>
      <c r="V13" s="41" t="s">
        <v>15</v>
      </c>
    </row>
    <row r="14" spans="1:22" x14ac:dyDescent="0.25">
      <c r="F14" s="41" t="s">
        <v>32</v>
      </c>
      <c r="G14" s="41" t="s">
        <v>33</v>
      </c>
      <c r="J14" s="41" t="s">
        <v>34</v>
      </c>
    </row>
    <row r="15" spans="1:22" x14ac:dyDescent="0.25">
      <c r="B15" s="41" t="s">
        <v>91</v>
      </c>
      <c r="F15" s="41" t="s">
        <v>35</v>
      </c>
      <c r="H15" s="41" t="s">
        <v>163</v>
      </c>
      <c r="I15" s="41" t="s">
        <v>36</v>
      </c>
      <c r="K15" s="41" t="s">
        <v>37</v>
      </c>
      <c r="L15" s="41" t="s">
        <v>38</v>
      </c>
      <c r="M15" s="41" t="s">
        <v>85</v>
      </c>
      <c r="N15" s="41" t="s">
        <v>88</v>
      </c>
      <c r="O15" s="41" t="s">
        <v>39</v>
      </c>
      <c r="P15" s="41" t="s">
        <v>40</v>
      </c>
      <c r="Q15" s="41" t="s">
        <v>41</v>
      </c>
      <c r="R15" s="41" t="s">
        <v>42</v>
      </c>
      <c r="S15" s="41" t="s">
        <v>43</v>
      </c>
      <c r="T15" s="41" t="s">
        <v>44</v>
      </c>
      <c r="U15" s="41" t="s">
        <v>111</v>
      </c>
      <c r="V15" s="41" t="s">
        <v>82</v>
      </c>
    </row>
    <row r="16" spans="1:22" x14ac:dyDescent="0.25">
      <c r="A16" s="41" t="s">
        <v>45</v>
      </c>
      <c r="B16" s="41" t="s">
        <v>330</v>
      </c>
      <c r="F16" s="41" t="s">
        <v>331</v>
      </c>
      <c r="H16" s="41" t="s">
        <v>1801</v>
      </c>
      <c r="I16" s="41" t="s">
        <v>408</v>
      </c>
      <c r="K16" s="41" t="s">
        <v>409</v>
      </c>
      <c r="L16" s="41" t="s">
        <v>410</v>
      </c>
      <c r="M16" s="41" t="s">
        <v>411</v>
      </c>
      <c r="N16" s="41" t="s">
        <v>332</v>
      </c>
      <c r="O16" s="41" t="s">
        <v>412</v>
      </c>
      <c r="P16" s="41" t="s">
        <v>413</v>
      </c>
      <c r="Q16" s="41" t="s">
        <v>414</v>
      </c>
      <c r="R16" s="41" t="s">
        <v>415</v>
      </c>
      <c r="S16" s="41" t="s">
        <v>416</v>
      </c>
      <c r="T16" s="41" t="s">
        <v>417</v>
      </c>
      <c r="U16" s="41" t="s">
        <v>418</v>
      </c>
      <c r="V16" s="41" t="s">
        <v>333</v>
      </c>
    </row>
    <row r="17" spans="1:22" x14ac:dyDescent="0.25">
      <c r="A17" s="41" t="s">
        <v>45</v>
      </c>
      <c r="B17" s="41" t="s">
        <v>1802</v>
      </c>
      <c r="F17" s="41" t="s">
        <v>1803</v>
      </c>
      <c r="H17" s="41" t="s">
        <v>1191</v>
      </c>
      <c r="I17" s="41" t="s">
        <v>1976</v>
      </c>
      <c r="K17" s="41" t="s">
        <v>1977</v>
      </c>
      <c r="L17" s="41" t="s">
        <v>1978</v>
      </c>
      <c r="M17" s="41" t="s">
        <v>1979</v>
      </c>
      <c r="N17" s="41" t="s">
        <v>1804</v>
      </c>
      <c r="O17" s="41" t="s">
        <v>1980</v>
      </c>
      <c r="P17" s="41" t="s">
        <v>1981</v>
      </c>
      <c r="Q17" s="41" t="s">
        <v>1982</v>
      </c>
      <c r="R17" s="41" t="s">
        <v>1983</v>
      </c>
      <c r="S17" s="41" t="s">
        <v>1984</v>
      </c>
      <c r="T17" s="41" t="s">
        <v>1985</v>
      </c>
      <c r="U17" s="41" t="s">
        <v>1986</v>
      </c>
      <c r="V17" s="41" t="s">
        <v>1805</v>
      </c>
    </row>
    <row r="19" spans="1:22" x14ac:dyDescent="0.25">
      <c r="A19" s="41" t="s">
        <v>45</v>
      </c>
      <c r="F19" s="41" t="s">
        <v>1806</v>
      </c>
      <c r="G19" s="41" t="s">
        <v>46</v>
      </c>
      <c r="J19" s="41" t="s">
        <v>1807</v>
      </c>
    </row>
    <row r="20" spans="1:22" x14ac:dyDescent="0.25">
      <c r="A20" s="41" t="s">
        <v>45</v>
      </c>
      <c r="B20" s="41" t="s">
        <v>604</v>
      </c>
      <c r="F20" s="41" t="s">
        <v>605</v>
      </c>
      <c r="H20" s="41" t="s">
        <v>1808</v>
      </c>
      <c r="I20" s="41" t="s">
        <v>629</v>
      </c>
      <c r="K20" s="41" t="s">
        <v>630</v>
      </c>
      <c r="L20" s="41" t="s">
        <v>631</v>
      </c>
      <c r="M20" s="41" t="s">
        <v>632</v>
      </c>
      <c r="N20" s="41" t="s">
        <v>606</v>
      </c>
      <c r="O20" s="41" t="s">
        <v>633</v>
      </c>
      <c r="P20" s="41" t="s">
        <v>634</v>
      </c>
      <c r="Q20" s="41" t="s">
        <v>635</v>
      </c>
      <c r="R20" s="41" t="s">
        <v>636</v>
      </c>
      <c r="S20" s="41" t="s">
        <v>637</v>
      </c>
      <c r="T20" s="41" t="s">
        <v>638</v>
      </c>
      <c r="U20" s="41" t="s">
        <v>639</v>
      </c>
      <c r="V20" s="41" t="s">
        <v>607</v>
      </c>
    </row>
    <row r="21" spans="1:22" x14ac:dyDescent="0.25">
      <c r="A21" s="41" t="s">
        <v>45</v>
      </c>
      <c r="B21" s="41" t="s">
        <v>92</v>
      </c>
      <c r="F21" s="41" t="s">
        <v>47</v>
      </c>
      <c r="H21" s="41" t="s">
        <v>334</v>
      </c>
      <c r="I21" s="41" t="s">
        <v>64</v>
      </c>
      <c r="K21" s="41" t="s">
        <v>66</v>
      </c>
      <c r="L21" s="41" t="s">
        <v>68</v>
      </c>
      <c r="M21" s="41" t="s">
        <v>86</v>
      </c>
      <c r="N21" s="41" t="s">
        <v>89</v>
      </c>
      <c r="O21" s="41" t="s">
        <v>70</v>
      </c>
      <c r="P21" s="41" t="s">
        <v>72</v>
      </c>
      <c r="Q21" s="41" t="s">
        <v>74</v>
      </c>
      <c r="R21" s="41" t="s">
        <v>76</v>
      </c>
      <c r="S21" s="41" t="s">
        <v>78</v>
      </c>
      <c r="T21" s="41" t="s">
        <v>80</v>
      </c>
      <c r="U21" s="41" t="s">
        <v>112</v>
      </c>
      <c r="V21" s="41" t="s">
        <v>83</v>
      </c>
    </row>
    <row r="22" spans="1:22" x14ac:dyDescent="0.25">
      <c r="A22" s="41" t="s">
        <v>45</v>
      </c>
      <c r="B22" s="41" t="s">
        <v>335</v>
      </c>
      <c r="F22" s="41" t="s">
        <v>336</v>
      </c>
      <c r="H22" s="41" t="s">
        <v>337</v>
      </c>
      <c r="I22" s="41" t="s">
        <v>474</v>
      </c>
      <c r="K22" s="41" t="s">
        <v>478</v>
      </c>
      <c r="L22" s="41" t="s">
        <v>482</v>
      </c>
      <c r="M22" s="41" t="s">
        <v>486</v>
      </c>
      <c r="N22" s="41" t="s">
        <v>338</v>
      </c>
      <c r="O22" s="41" t="s">
        <v>490</v>
      </c>
      <c r="P22" s="41" t="s">
        <v>494</v>
      </c>
      <c r="Q22" s="41" t="s">
        <v>498</v>
      </c>
      <c r="R22" s="41" t="s">
        <v>502</v>
      </c>
      <c r="S22" s="41" t="s">
        <v>506</v>
      </c>
      <c r="T22" s="41" t="s">
        <v>510</v>
      </c>
      <c r="U22" s="41" t="s">
        <v>514</v>
      </c>
      <c r="V22" s="41" t="s">
        <v>339</v>
      </c>
    </row>
    <row r="23" spans="1:22" x14ac:dyDescent="0.25">
      <c r="A23" s="41" t="s">
        <v>45</v>
      </c>
      <c r="B23" s="41" t="s">
        <v>340</v>
      </c>
      <c r="F23" s="41" t="s">
        <v>341</v>
      </c>
      <c r="H23" s="41" t="s">
        <v>344</v>
      </c>
      <c r="I23" s="41" t="s">
        <v>475</v>
      </c>
      <c r="K23" s="41" t="s">
        <v>479</v>
      </c>
      <c r="L23" s="41" t="s">
        <v>483</v>
      </c>
      <c r="M23" s="41" t="s">
        <v>487</v>
      </c>
      <c r="N23" s="41" t="s">
        <v>342</v>
      </c>
      <c r="O23" s="41" t="s">
        <v>491</v>
      </c>
      <c r="P23" s="41" t="s">
        <v>495</v>
      </c>
      <c r="Q23" s="41" t="s">
        <v>499</v>
      </c>
      <c r="R23" s="41" t="s">
        <v>503</v>
      </c>
      <c r="S23" s="41" t="s">
        <v>507</v>
      </c>
      <c r="T23" s="41" t="s">
        <v>511</v>
      </c>
      <c r="U23" s="41" t="s">
        <v>515</v>
      </c>
      <c r="V23" s="41" t="s">
        <v>343</v>
      </c>
    </row>
    <row r="24" spans="1:22" x14ac:dyDescent="0.25">
      <c r="A24" s="41" t="s">
        <v>45</v>
      </c>
      <c r="B24" s="41" t="s">
        <v>93</v>
      </c>
      <c r="F24" s="41" t="s">
        <v>48</v>
      </c>
      <c r="H24" s="41" t="s">
        <v>345</v>
      </c>
      <c r="I24" s="41" t="s">
        <v>65</v>
      </c>
      <c r="K24" s="41" t="s">
        <v>67</v>
      </c>
      <c r="L24" s="41" t="s">
        <v>69</v>
      </c>
      <c r="M24" s="41" t="s">
        <v>87</v>
      </c>
      <c r="N24" s="41" t="s">
        <v>90</v>
      </c>
      <c r="O24" s="41" t="s">
        <v>71</v>
      </c>
      <c r="P24" s="41" t="s">
        <v>73</v>
      </c>
      <c r="Q24" s="41" t="s">
        <v>75</v>
      </c>
      <c r="R24" s="41" t="s">
        <v>77</v>
      </c>
      <c r="S24" s="41" t="s">
        <v>79</v>
      </c>
      <c r="T24" s="41" t="s">
        <v>81</v>
      </c>
      <c r="U24" s="41" t="s">
        <v>113</v>
      </c>
      <c r="V24" s="41" t="s">
        <v>84</v>
      </c>
    </row>
    <row r="25" spans="1:22" x14ac:dyDescent="0.25">
      <c r="A25" s="41" t="s">
        <v>45</v>
      </c>
      <c r="B25" s="41" t="s">
        <v>131</v>
      </c>
      <c r="F25" s="41" t="s">
        <v>132</v>
      </c>
      <c r="H25" s="41" t="s">
        <v>346</v>
      </c>
      <c r="I25" s="41" t="s">
        <v>139</v>
      </c>
      <c r="K25" s="41" t="s">
        <v>141</v>
      </c>
      <c r="L25" s="41" t="s">
        <v>143</v>
      </c>
      <c r="M25" s="41" t="s">
        <v>145</v>
      </c>
      <c r="N25" s="41" t="s">
        <v>133</v>
      </c>
      <c r="O25" s="41" t="s">
        <v>147</v>
      </c>
      <c r="P25" s="41" t="s">
        <v>149</v>
      </c>
      <c r="Q25" s="41" t="s">
        <v>151</v>
      </c>
      <c r="R25" s="41" t="s">
        <v>153</v>
      </c>
      <c r="S25" s="41" t="s">
        <v>155</v>
      </c>
      <c r="T25" s="41" t="s">
        <v>157</v>
      </c>
      <c r="U25" s="41" t="s">
        <v>159</v>
      </c>
      <c r="V25" s="41" t="s">
        <v>134</v>
      </c>
    </row>
    <row r="26" spans="1:22" x14ac:dyDescent="0.25">
      <c r="A26" s="41" t="s">
        <v>45</v>
      </c>
      <c r="B26" s="41" t="s">
        <v>135</v>
      </c>
      <c r="F26" s="41" t="s">
        <v>136</v>
      </c>
      <c r="H26" s="41" t="s">
        <v>353</v>
      </c>
      <c r="I26" s="41" t="s">
        <v>140</v>
      </c>
      <c r="K26" s="41" t="s">
        <v>142</v>
      </c>
      <c r="L26" s="41" t="s">
        <v>144</v>
      </c>
      <c r="M26" s="41" t="s">
        <v>146</v>
      </c>
      <c r="N26" s="41" t="s">
        <v>137</v>
      </c>
      <c r="O26" s="41" t="s">
        <v>148</v>
      </c>
      <c r="P26" s="41" t="s">
        <v>150</v>
      </c>
      <c r="Q26" s="41" t="s">
        <v>152</v>
      </c>
      <c r="R26" s="41" t="s">
        <v>154</v>
      </c>
      <c r="S26" s="41" t="s">
        <v>156</v>
      </c>
      <c r="T26" s="41" t="s">
        <v>158</v>
      </c>
      <c r="U26" s="41" t="s">
        <v>160</v>
      </c>
      <c r="V26" s="41" t="s">
        <v>138</v>
      </c>
    </row>
    <row r="27" spans="1:22" x14ac:dyDescent="0.25">
      <c r="A27" s="41" t="s">
        <v>45</v>
      </c>
      <c r="B27" s="41" t="s">
        <v>347</v>
      </c>
      <c r="F27" s="41" t="s">
        <v>348</v>
      </c>
      <c r="H27" s="41" t="s">
        <v>705</v>
      </c>
      <c r="I27" s="41" t="s">
        <v>476</v>
      </c>
      <c r="K27" s="41" t="s">
        <v>480</v>
      </c>
      <c r="L27" s="41" t="s">
        <v>484</v>
      </c>
      <c r="M27" s="41" t="s">
        <v>488</v>
      </c>
      <c r="N27" s="41" t="s">
        <v>349</v>
      </c>
      <c r="O27" s="41" t="s">
        <v>492</v>
      </c>
      <c r="P27" s="41" t="s">
        <v>496</v>
      </c>
      <c r="Q27" s="41" t="s">
        <v>500</v>
      </c>
      <c r="R27" s="41" t="s">
        <v>504</v>
      </c>
      <c r="S27" s="41" t="s">
        <v>508</v>
      </c>
      <c r="T27" s="41" t="s">
        <v>512</v>
      </c>
      <c r="U27" s="41" t="s">
        <v>516</v>
      </c>
      <c r="V27" s="41" t="s">
        <v>350</v>
      </c>
    </row>
    <row r="28" spans="1:22" x14ac:dyDescent="0.25">
      <c r="A28" s="41" t="s">
        <v>45</v>
      </c>
      <c r="B28" s="41" t="s">
        <v>351</v>
      </c>
      <c r="F28" s="41" t="s">
        <v>352</v>
      </c>
      <c r="H28" s="41" t="s">
        <v>640</v>
      </c>
      <c r="I28" s="41" t="s">
        <v>477</v>
      </c>
      <c r="K28" s="41" t="s">
        <v>481</v>
      </c>
      <c r="L28" s="41" t="s">
        <v>485</v>
      </c>
      <c r="M28" s="41" t="s">
        <v>489</v>
      </c>
      <c r="N28" s="41" t="s">
        <v>354</v>
      </c>
      <c r="O28" s="41" t="s">
        <v>493</v>
      </c>
      <c r="P28" s="41" t="s">
        <v>497</v>
      </c>
      <c r="Q28" s="41" t="s">
        <v>501</v>
      </c>
      <c r="R28" s="41" t="s">
        <v>505</v>
      </c>
      <c r="S28" s="41" t="s">
        <v>509</v>
      </c>
      <c r="T28" s="41" t="s">
        <v>513</v>
      </c>
      <c r="U28" s="41" t="s">
        <v>517</v>
      </c>
      <c r="V28" s="41" t="s">
        <v>355</v>
      </c>
    </row>
    <row r="29" spans="1:22" x14ac:dyDescent="0.25">
      <c r="A29" s="41" t="s">
        <v>45</v>
      </c>
      <c r="B29" s="41" t="s">
        <v>115</v>
      </c>
      <c r="F29" s="41" t="s">
        <v>116</v>
      </c>
      <c r="H29" s="41" t="s">
        <v>1033</v>
      </c>
      <c r="I29" s="41" t="s">
        <v>119</v>
      </c>
      <c r="K29" s="41" t="s">
        <v>120</v>
      </c>
      <c r="L29" s="41" t="s">
        <v>121</v>
      </c>
      <c r="M29" s="41" t="s">
        <v>122</v>
      </c>
      <c r="N29" s="41" t="s">
        <v>117</v>
      </c>
      <c r="O29" s="41" t="s">
        <v>123</v>
      </c>
      <c r="P29" s="41" t="s">
        <v>124</v>
      </c>
      <c r="Q29" s="41" t="s">
        <v>125</v>
      </c>
      <c r="R29" s="41" t="s">
        <v>126</v>
      </c>
      <c r="S29" s="41" t="s">
        <v>127</v>
      </c>
      <c r="T29" s="41" t="s">
        <v>128</v>
      </c>
      <c r="U29" s="41" t="s">
        <v>129</v>
      </c>
      <c r="V29" s="41" t="s">
        <v>118</v>
      </c>
    </row>
    <row r="30" spans="1:22" x14ac:dyDescent="0.25">
      <c r="A30" s="41" t="s">
        <v>45</v>
      </c>
      <c r="B30" s="41" t="s">
        <v>96</v>
      </c>
      <c r="F30" s="41" t="s">
        <v>97</v>
      </c>
      <c r="H30" s="41" t="s">
        <v>356</v>
      </c>
      <c r="I30" s="41" t="s">
        <v>101</v>
      </c>
      <c r="K30" s="41" t="s">
        <v>102</v>
      </c>
      <c r="L30" s="41" t="s">
        <v>103</v>
      </c>
      <c r="M30" s="41" t="s">
        <v>104</v>
      </c>
      <c r="N30" s="41" t="s">
        <v>98</v>
      </c>
      <c r="O30" s="41" t="s">
        <v>105</v>
      </c>
      <c r="P30" s="41" t="s">
        <v>106</v>
      </c>
      <c r="Q30" s="41" t="s">
        <v>107</v>
      </c>
      <c r="R30" s="41" t="s">
        <v>108</v>
      </c>
      <c r="S30" s="41" t="s">
        <v>109</v>
      </c>
      <c r="T30" s="41" t="s">
        <v>110</v>
      </c>
      <c r="U30" s="41" t="s">
        <v>114</v>
      </c>
      <c r="V30" s="41" t="s">
        <v>99</v>
      </c>
    </row>
    <row r="31" spans="1:22" x14ac:dyDescent="0.25">
      <c r="A31" s="41" t="s">
        <v>45</v>
      </c>
      <c r="B31" s="41" t="s">
        <v>246</v>
      </c>
      <c r="F31" s="41" t="s">
        <v>247</v>
      </c>
      <c r="H31" s="41" t="s">
        <v>608</v>
      </c>
      <c r="I31" s="41" t="s">
        <v>251</v>
      </c>
      <c r="K31" s="41" t="s">
        <v>252</v>
      </c>
      <c r="L31" s="41" t="s">
        <v>253</v>
      </c>
      <c r="M31" s="41" t="s">
        <v>254</v>
      </c>
      <c r="N31" s="41" t="s">
        <v>248</v>
      </c>
      <c r="O31" s="41" t="s">
        <v>255</v>
      </c>
      <c r="P31" s="41" t="s">
        <v>256</v>
      </c>
      <c r="Q31" s="41" t="s">
        <v>257</v>
      </c>
      <c r="R31" s="41" t="s">
        <v>258</v>
      </c>
      <c r="S31" s="41" t="s">
        <v>259</v>
      </c>
      <c r="T31" s="41" t="s">
        <v>260</v>
      </c>
      <c r="U31" s="41" t="s">
        <v>261</v>
      </c>
      <c r="V31" s="41" t="s">
        <v>249</v>
      </c>
    </row>
    <row r="32" spans="1:22" x14ac:dyDescent="0.25">
      <c r="A32" s="41" t="s">
        <v>45</v>
      </c>
      <c r="B32" s="41" t="s">
        <v>262</v>
      </c>
      <c r="F32" s="41" t="s">
        <v>263</v>
      </c>
      <c r="H32" s="41" t="s">
        <v>1809</v>
      </c>
      <c r="I32" s="41" t="s">
        <v>270</v>
      </c>
      <c r="K32" s="41" t="s">
        <v>272</v>
      </c>
      <c r="L32" s="41" t="s">
        <v>274</v>
      </c>
      <c r="M32" s="41" t="s">
        <v>276</v>
      </c>
      <c r="N32" s="41" t="s">
        <v>264</v>
      </c>
      <c r="O32" s="41" t="s">
        <v>278</v>
      </c>
      <c r="P32" s="41" t="s">
        <v>280</v>
      </c>
      <c r="Q32" s="41" t="s">
        <v>282</v>
      </c>
      <c r="R32" s="41" t="s">
        <v>284</v>
      </c>
      <c r="S32" s="41" t="s">
        <v>286</v>
      </c>
      <c r="T32" s="41" t="s">
        <v>288</v>
      </c>
      <c r="U32" s="41" t="s">
        <v>290</v>
      </c>
      <c r="V32" s="41" t="s">
        <v>265</v>
      </c>
    </row>
    <row r="33" spans="1:22" x14ac:dyDescent="0.25">
      <c r="A33" s="41" t="s">
        <v>45</v>
      </c>
      <c r="B33" s="41" t="s">
        <v>266</v>
      </c>
      <c r="F33" s="41" t="s">
        <v>267</v>
      </c>
      <c r="H33" s="41" t="s">
        <v>1810</v>
      </c>
      <c r="I33" s="41" t="s">
        <v>271</v>
      </c>
      <c r="K33" s="41" t="s">
        <v>273</v>
      </c>
      <c r="L33" s="41" t="s">
        <v>275</v>
      </c>
      <c r="M33" s="41" t="s">
        <v>277</v>
      </c>
      <c r="N33" s="41" t="s">
        <v>268</v>
      </c>
      <c r="O33" s="41" t="s">
        <v>279</v>
      </c>
      <c r="P33" s="41" t="s">
        <v>281</v>
      </c>
      <c r="Q33" s="41" t="s">
        <v>283</v>
      </c>
      <c r="R33" s="41" t="s">
        <v>285</v>
      </c>
      <c r="S33" s="41" t="s">
        <v>287</v>
      </c>
      <c r="T33" s="41" t="s">
        <v>289</v>
      </c>
      <c r="U33" s="41" t="s">
        <v>291</v>
      </c>
      <c r="V33" s="41" t="s">
        <v>269</v>
      </c>
    </row>
    <row r="34" spans="1:22" x14ac:dyDescent="0.25">
      <c r="A34" s="41" t="s">
        <v>45</v>
      </c>
      <c r="B34" s="41" t="s">
        <v>197</v>
      </c>
      <c r="F34" s="41" t="s">
        <v>198</v>
      </c>
      <c r="H34" s="41" t="s">
        <v>1192</v>
      </c>
      <c r="I34" s="41" t="s">
        <v>235</v>
      </c>
      <c r="K34" s="41" t="s">
        <v>236</v>
      </c>
      <c r="L34" s="41" t="s">
        <v>237</v>
      </c>
      <c r="M34" s="41" t="s">
        <v>238</v>
      </c>
      <c r="N34" s="41" t="s">
        <v>199</v>
      </c>
      <c r="O34" s="41" t="s">
        <v>239</v>
      </c>
      <c r="P34" s="41" t="s">
        <v>240</v>
      </c>
      <c r="Q34" s="41" t="s">
        <v>241</v>
      </c>
      <c r="R34" s="41" t="s">
        <v>242</v>
      </c>
      <c r="S34" s="41" t="s">
        <v>243</v>
      </c>
      <c r="T34" s="41" t="s">
        <v>244</v>
      </c>
      <c r="U34" s="41" t="s">
        <v>245</v>
      </c>
      <c r="V34" s="41" t="s">
        <v>200</v>
      </c>
    </row>
    <row r="35" spans="1:22" x14ac:dyDescent="0.25">
      <c r="A35" s="41" t="s">
        <v>45</v>
      </c>
      <c r="B35" s="41" t="s">
        <v>299</v>
      </c>
      <c r="F35" s="41" t="s">
        <v>300</v>
      </c>
      <c r="H35" s="41" t="s">
        <v>600</v>
      </c>
      <c r="I35" s="41" t="s">
        <v>303</v>
      </c>
      <c r="K35" s="41" t="s">
        <v>304</v>
      </c>
      <c r="L35" s="41" t="s">
        <v>305</v>
      </c>
      <c r="M35" s="41" t="s">
        <v>306</v>
      </c>
      <c r="N35" s="41" t="s">
        <v>301</v>
      </c>
      <c r="O35" s="41" t="s">
        <v>307</v>
      </c>
      <c r="P35" s="41" t="s">
        <v>308</v>
      </c>
      <c r="Q35" s="41" t="s">
        <v>309</v>
      </c>
      <c r="R35" s="41" t="s">
        <v>310</v>
      </c>
      <c r="S35" s="41" t="s">
        <v>311</v>
      </c>
      <c r="T35" s="41" t="s">
        <v>312</v>
      </c>
      <c r="U35" s="41" t="s">
        <v>313</v>
      </c>
      <c r="V35" s="41" t="s">
        <v>302</v>
      </c>
    </row>
    <row r="36" spans="1:22" x14ac:dyDescent="0.25">
      <c r="A36" s="41" t="s">
        <v>45</v>
      </c>
      <c r="B36" s="41" t="s">
        <v>1811</v>
      </c>
      <c r="F36" s="41" t="s">
        <v>1812</v>
      </c>
      <c r="H36" s="41" t="s">
        <v>880</v>
      </c>
      <c r="I36" s="41" t="s">
        <v>2174</v>
      </c>
      <c r="K36" s="41" t="s">
        <v>2175</v>
      </c>
      <c r="L36" s="41" t="s">
        <v>2176</v>
      </c>
      <c r="M36" s="41" t="s">
        <v>2177</v>
      </c>
      <c r="N36" s="41" t="s">
        <v>1813</v>
      </c>
      <c r="O36" s="41" t="s">
        <v>2178</v>
      </c>
      <c r="P36" s="41" t="s">
        <v>2179</v>
      </c>
      <c r="Q36" s="41" t="s">
        <v>2180</v>
      </c>
      <c r="R36" s="41" t="s">
        <v>2181</v>
      </c>
      <c r="S36" s="41" t="s">
        <v>2182</v>
      </c>
      <c r="T36" s="41" t="s">
        <v>2183</v>
      </c>
      <c r="U36" s="41" t="s">
        <v>2184</v>
      </c>
      <c r="V36" s="41" t="s">
        <v>1814</v>
      </c>
    </row>
    <row r="37" spans="1:22" x14ac:dyDescent="0.25">
      <c r="A37" s="41" t="s">
        <v>45</v>
      </c>
    </row>
    <row r="38" spans="1:22" x14ac:dyDescent="0.25">
      <c r="A38" s="41" t="s">
        <v>45</v>
      </c>
      <c r="F38" s="41" t="s">
        <v>1815</v>
      </c>
      <c r="G38" s="41" t="s">
        <v>49</v>
      </c>
      <c r="J38" s="41" t="s">
        <v>1816</v>
      </c>
    </row>
    <row r="39" spans="1:22" x14ac:dyDescent="0.25">
      <c r="A39" s="41" t="s">
        <v>45</v>
      </c>
      <c r="B39" s="41" t="s">
        <v>1215</v>
      </c>
      <c r="F39" s="41" t="s">
        <v>1216</v>
      </c>
      <c r="H39" s="41" t="s">
        <v>1817</v>
      </c>
      <c r="I39" s="41" t="s">
        <v>1373</v>
      </c>
      <c r="K39" s="41" t="s">
        <v>1375</v>
      </c>
      <c r="L39" s="41" t="s">
        <v>1377</v>
      </c>
      <c r="M39" s="41" t="s">
        <v>1379</v>
      </c>
      <c r="N39" s="41" t="s">
        <v>1217</v>
      </c>
      <c r="O39" s="41" t="s">
        <v>1381</v>
      </c>
      <c r="P39" s="41" t="s">
        <v>1383</v>
      </c>
      <c r="Q39" s="41" t="s">
        <v>1385</v>
      </c>
      <c r="R39" s="41" t="s">
        <v>1387</v>
      </c>
      <c r="S39" s="41" t="s">
        <v>1389</v>
      </c>
      <c r="T39" s="41" t="s">
        <v>1391</v>
      </c>
      <c r="U39" s="41" t="s">
        <v>1393</v>
      </c>
      <c r="V39" s="41" t="s">
        <v>1218</v>
      </c>
    </row>
    <row r="40" spans="1:22" x14ac:dyDescent="0.25">
      <c r="A40" s="41" t="s">
        <v>45</v>
      </c>
      <c r="B40" s="41" t="s">
        <v>1219</v>
      </c>
      <c r="F40" s="41" t="s">
        <v>1220</v>
      </c>
      <c r="H40" s="41" t="s">
        <v>706</v>
      </c>
      <c r="I40" s="41" t="s">
        <v>1374</v>
      </c>
      <c r="K40" s="41" t="s">
        <v>1376</v>
      </c>
      <c r="L40" s="41" t="s">
        <v>1378</v>
      </c>
      <c r="M40" s="41" t="s">
        <v>1380</v>
      </c>
      <c r="N40" s="41" t="s">
        <v>1221</v>
      </c>
      <c r="O40" s="41" t="s">
        <v>1382</v>
      </c>
      <c r="P40" s="41" t="s">
        <v>1384</v>
      </c>
      <c r="Q40" s="41" t="s">
        <v>1386</v>
      </c>
      <c r="R40" s="41" t="s">
        <v>1388</v>
      </c>
      <c r="S40" s="41" t="s">
        <v>1390</v>
      </c>
      <c r="T40" s="41" t="s">
        <v>1392</v>
      </c>
      <c r="U40" s="41" t="s">
        <v>1394</v>
      </c>
      <c r="V40" s="41" t="s">
        <v>1222</v>
      </c>
    </row>
    <row r="41" spans="1:22" x14ac:dyDescent="0.25">
      <c r="A41" s="41" t="s">
        <v>45</v>
      </c>
      <c r="B41" s="41" t="s">
        <v>760</v>
      </c>
      <c r="F41" s="41" t="s">
        <v>761</v>
      </c>
      <c r="H41" s="41" t="s">
        <v>357</v>
      </c>
      <c r="I41" s="41" t="s">
        <v>839</v>
      </c>
      <c r="K41" s="41" t="s">
        <v>840</v>
      </c>
      <c r="L41" s="41" t="s">
        <v>841</v>
      </c>
      <c r="M41" s="41" t="s">
        <v>842</v>
      </c>
      <c r="N41" s="41" t="s">
        <v>762</v>
      </c>
      <c r="O41" s="41" t="s">
        <v>843</v>
      </c>
      <c r="P41" s="41" t="s">
        <v>844</v>
      </c>
      <c r="Q41" s="41" t="s">
        <v>845</v>
      </c>
      <c r="R41" s="41" t="s">
        <v>846</v>
      </c>
      <c r="S41" s="41" t="s">
        <v>847</v>
      </c>
      <c r="T41" s="41" t="s">
        <v>848</v>
      </c>
      <c r="U41" s="41" t="s">
        <v>849</v>
      </c>
      <c r="V41" s="41" t="s">
        <v>763</v>
      </c>
    </row>
    <row r="42" spans="1:22" x14ac:dyDescent="0.25">
      <c r="A42" s="41" t="s">
        <v>45</v>
      </c>
      <c r="B42" s="41" t="s">
        <v>1818</v>
      </c>
      <c r="F42" s="41" t="s">
        <v>1819</v>
      </c>
      <c r="H42" s="41" t="s">
        <v>1193</v>
      </c>
      <c r="I42" s="41" t="s">
        <v>2163</v>
      </c>
      <c r="K42" s="41" t="s">
        <v>2164</v>
      </c>
      <c r="L42" s="41" t="s">
        <v>2165</v>
      </c>
      <c r="M42" s="41" t="s">
        <v>2166</v>
      </c>
      <c r="N42" s="41" t="s">
        <v>1820</v>
      </c>
      <c r="O42" s="41" t="s">
        <v>2167</v>
      </c>
      <c r="P42" s="41" t="s">
        <v>2168</v>
      </c>
      <c r="Q42" s="41" t="s">
        <v>2169</v>
      </c>
      <c r="R42" s="41" t="s">
        <v>2170</v>
      </c>
      <c r="S42" s="41" t="s">
        <v>2171</v>
      </c>
      <c r="T42" s="41" t="s">
        <v>2172</v>
      </c>
      <c r="U42" s="41" t="s">
        <v>2173</v>
      </c>
      <c r="V42" s="41" t="s">
        <v>1821</v>
      </c>
    </row>
    <row r="43" spans="1:22" x14ac:dyDescent="0.25">
      <c r="A43" s="41" t="s">
        <v>45</v>
      </c>
    </row>
    <row r="44" spans="1:22" x14ac:dyDescent="0.25">
      <c r="A44" s="41" t="s">
        <v>45</v>
      </c>
      <c r="F44" s="41" t="s">
        <v>1822</v>
      </c>
      <c r="G44" s="41" t="s">
        <v>95</v>
      </c>
      <c r="J44" s="41" t="s">
        <v>1823</v>
      </c>
    </row>
    <row r="45" spans="1:22" x14ac:dyDescent="0.25">
      <c r="A45" s="41" t="s">
        <v>45</v>
      </c>
      <c r="B45" s="41" t="s">
        <v>1223</v>
      </c>
      <c r="F45" s="41" t="s">
        <v>1224</v>
      </c>
      <c r="H45" s="41" t="s">
        <v>1824</v>
      </c>
      <c r="I45" s="41" t="s">
        <v>1351</v>
      </c>
      <c r="K45" s="41" t="s">
        <v>1353</v>
      </c>
      <c r="L45" s="41" t="s">
        <v>1355</v>
      </c>
      <c r="M45" s="41" t="s">
        <v>1357</v>
      </c>
      <c r="N45" s="41" t="s">
        <v>1225</v>
      </c>
      <c r="O45" s="41" t="s">
        <v>1359</v>
      </c>
      <c r="P45" s="41" t="s">
        <v>1361</v>
      </c>
      <c r="Q45" s="41" t="s">
        <v>1363</v>
      </c>
      <c r="R45" s="41" t="s">
        <v>1365</v>
      </c>
      <c r="S45" s="41" t="s">
        <v>1367</v>
      </c>
      <c r="T45" s="41" t="s">
        <v>1369</v>
      </c>
      <c r="U45" s="41" t="s">
        <v>1371</v>
      </c>
      <c r="V45" s="41" t="s">
        <v>1226</v>
      </c>
    </row>
    <row r="46" spans="1:22" x14ac:dyDescent="0.25">
      <c r="A46" s="41" t="s">
        <v>45</v>
      </c>
      <c r="B46" s="41" t="s">
        <v>1227</v>
      </c>
      <c r="F46" s="41" t="s">
        <v>1228</v>
      </c>
      <c r="H46" s="41" t="s">
        <v>707</v>
      </c>
      <c r="I46" s="41" t="s">
        <v>1352</v>
      </c>
      <c r="K46" s="41" t="s">
        <v>1354</v>
      </c>
      <c r="L46" s="41" t="s">
        <v>1356</v>
      </c>
      <c r="M46" s="41" t="s">
        <v>1358</v>
      </c>
      <c r="N46" s="41" t="s">
        <v>1229</v>
      </c>
      <c r="O46" s="41" t="s">
        <v>1360</v>
      </c>
      <c r="P46" s="41" t="s">
        <v>1362</v>
      </c>
      <c r="Q46" s="41" t="s">
        <v>1364</v>
      </c>
      <c r="R46" s="41" t="s">
        <v>1366</v>
      </c>
      <c r="S46" s="41" t="s">
        <v>1368</v>
      </c>
      <c r="T46" s="41" t="s">
        <v>1370</v>
      </c>
      <c r="U46" s="41" t="s">
        <v>1372</v>
      </c>
      <c r="V46" s="41" t="s">
        <v>1230</v>
      </c>
    </row>
    <row r="47" spans="1:22" x14ac:dyDescent="0.25">
      <c r="A47" s="41" t="s">
        <v>45</v>
      </c>
      <c r="B47" s="41" t="s">
        <v>1034</v>
      </c>
      <c r="F47" s="41" t="s">
        <v>1035</v>
      </c>
      <c r="H47" s="41" t="s">
        <v>358</v>
      </c>
      <c r="I47" s="41" t="s">
        <v>1180</v>
      </c>
      <c r="K47" s="41" t="s">
        <v>1181</v>
      </c>
      <c r="L47" s="41" t="s">
        <v>1182</v>
      </c>
      <c r="M47" s="41" t="s">
        <v>1183</v>
      </c>
      <c r="N47" s="41" t="s">
        <v>1036</v>
      </c>
      <c r="O47" s="41" t="s">
        <v>1184</v>
      </c>
      <c r="P47" s="41" t="s">
        <v>1185</v>
      </c>
      <c r="Q47" s="41" t="s">
        <v>1186</v>
      </c>
      <c r="R47" s="41" t="s">
        <v>1187</v>
      </c>
      <c r="S47" s="41" t="s">
        <v>1188</v>
      </c>
      <c r="T47" s="41" t="s">
        <v>1189</v>
      </c>
      <c r="U47" s="41" t="s">
        <v>1190</v>
      </c>
      <c r="V47" s="41" t="s">
        <v>1037</v>
      </c>
    </row>
    <row r="48" spans="1:22" x14ac:dyDescent="0.25">
      <c r="A48" s="41" t="s">
        <v>45</v>
      </c>
      <c r="B48" s="41" t="s">
        <v>952</v>
      </c>
      <c r="F48" s="41" t="s">
        <v>953</v>
      </c>
      <c r="H48" s="41" t="s">
        <v>1825</v>
      </c>
      <c r="I48" s="41" t="s">
        <v>1022</v>
      </c>
      <c r="K48" s="41" t="s">
        <v>1023</v>
      </c>
      <c r="L48" s="41" t="s">
        <v>1024</v>
      </c>
      <c r="M48" s="41" t="s">
        <v>1025</v>
      </c>
      <c r="N48" s="41" t="s">
        <v>954</v>
      </c>
      <c r="O48" s="41" t="s">
        <v>1026</v>
      </c>
      <c r="P48" s="41" t="s">
        <v>1027</v>
      </c>
      <c r="Q48" s="41" t="s">
        <v>1028</v>
      </c>
      <c r="R48" s="41" t="s">
        <v>1029</v>
      </c>
      <c r="S48" s="41" t="s">
        <v>1030</v>
      </c>
      <c r="T48" s="41" t="s">
        <v>1031</v>
      </c>
      <c r="U48" s="41" t="s">
        <v>1032</v>
      </c>
      <c r="V48" s="41" t="s">
        <v>955</v>
      </c>
    </row>
    <row r="49" spans="1:22" x14ac:dyDescent="0.25">
      <c r="A49" s="41" t="s">
        <v>45</v>
      </c>
      <c r="B49" s="41" t="s">
        <v>850</v>
      </c>
      <c r="F49" s="41" t="s">
        <v>851</v>
      </c>
      <c r="H49" s="41" t="s">
        <v>643</v>
      </c>
      <c r="I49" s="41" t="s">
        <v>869</v>
      </c>
      <c r="K49" s="41" t="s">
        <v>870</v>
      </c>
      <c r="L49" s="41" t="s">
        <v>871</v>
      </c>
      <c r="M49" s="41" t="s">
        <v>872</v>
      </c>
      <c r="N49" s="41" t="s">
        <v>852</v>
      </c>
      <c r="O49" s="41" t="s">
        <v>873</v>
      </c>
      <c r="P49" s="41" t="s">
        <v>874</v>
      </c>
      <c r="Q49" s="41" t="s">
        <v>875</v>
      </c>
      <c r="R49" s="41" t="s">
        <v>876</v>
      </c>
      <c r="S49" s="41" t="s">
        <v>877</v>
      </c>
      <c r="T49" s="41" t="s">
        <v>878</v>
      </c>
      <c r="U49" s="41" t="s">
        <v>879</v>
      </c>
      <c r="V49" s="41" t="s">
        <v>853</v>
      </c>
    </row>
    <row r="50" spans="1:22" x14ac:dyDescent="0.25">
      <c r="A50" s="41" t="s">
        <v>45</v>
      </c>
      <c r="B50" s="41" t="s">
        <v>764</v>
      </c>
      <c r="F50" s="41" t="s">
        <v>765</v>
      </c>
      <c r="H50" s="41" t="s">
        <v>609</v>
      </c>
      <c r="I50" s="41" t="s">
        <v>817</v>
      </c>
      <c r="K50" s="41" t="s">
        <v>819</v>
      </c>
      <c r="L50" s="41" t="s">
        <v>821</v>
      </c>
      <c r="M50" s="41" t="s">
        <v>823</v>
      </c>
      <c r="N50" s="41" t="s">
        <v>766</v>
      </c>
      <c r="O50" s="41" t="s">
        <v>825</v>
      </c>
      <c r="P50" s="41" t="s">
        <v>827</v>
      </c>
      <c r="Q50" s="41" t="s">
        <v>829</v>
      </c>
      <c r="R50" s="41" t="s">
        <v>831</v>
      </c>
      <c r="S50" s="41" t="s">
        <v>833</v>
      </c>
      <c r="T50" s="41" t="s">
        <v>835</v>
      </c>
      <c r="U50" s="41" t="s">
        <v>837</v>
      </c>
      <c r="V50" s="41" t="s">
        <v>767</v>
      </c>
    </row>
    <row r="51" spans="1:22" x14ac:dyDescent="0.25">
      <c r="A51" s="41" t="s">
        <v>45</v>
      </c>
      <c r="B51" s="41" t="s">
        <v>768</v>
      </c>
      <c r="F51" s="41" t="s">
        <v>769</v>
      </c>
      <c r="H51" s="41" t="s">
        <v>1826</v>
      </c>
      <c r="I51" s="41" t="s">
        <v>818</v>
      </c>
      <c r="K51" s="41" t="s">
        <v>820</v>
      </c>
      <c r="L51" s="41" t="s">
        <v>822</v>
      </c>
      <c r="M51" s="41" t="s">
        <v>824</v>
      </c>
      <c r="N51" s="41" t="s">
        <v>770</v>
      </c>
      <c r="O51" s="41" t="s">
        <v>826</v>
      </c>
      <c r="P51" s="41" t="s">
        <v>828</v>
      </c>
      <c r="Q51" s="41" t="s">
        <v>830</v>
      </c>
      <c r="R51" s="41" t="s">
        <v>832</v>
      </c>
      <c r="S51" s="41" t="s">
        <v>834</v>
      </c>
      <c r="T51" s="41" t="s">
        <v>836</v>
      </c>
      <c r="U51" s="41" t="s">
        <v>838</v>
      </c>
      <c r="V51" s="41" t="s">
        <v>771</v>
      </c>
    </row>
    <row r="52" spans="1:22" x14ac:dyDescent="0.25">
      <c r="A52" s="41" t="s">
        <v>45</v>
      </c>
      <c r="B52" s="41" t="s">
        <v>201</v>
      </c>
      <c r="F52" s="41" t="s">
        <v>202</v>
      </c>
      <c r="H52" s="41" t="s">
        <v>650</v>
      </c>
      <c r="I52" s="41" t="s">
        <v>213</v>
      </c>
      <c r="K52" s="41" t="s">
        <v>215</v>
      </c>
      <c r="L52" s="41" t="s">
        <v>217</v>
      </c>
      <c r="M52" s="41" t="s">
        <v>219</v>
      </c>
      <c r="N52" s="41" t="s">
        <v>203</v>
      </c>
      <c r="O52" s="41" t="s">
        <v>221</v>
      </c>
      <c r="P52" s="41" t="s">
        <v>223</v>
      </c>
      <c r="Q52" s="41" t="s">
        <v>225</v>
      </c>
      <c r="R52" s="41" t="s">
        <v>227</v>
      </c>
      <c r="S52" s="41" t="s">
        <v>229</v>
      </c>
      <c r="T52" s="41" t="s">
        <v>231</v>
      </c>
      <c r="U52" s="41" t="s">
        <v>233</v>
      </c>
      <c r="V52" s="41" t="s">
        <v>204</v>
      </c>
    </row>
    <row r="53" spans="1:22" x14ac:dyDescent="0.25">
      <c r="A53" s="41" t="s">
        <v>45</v>
      </c>
      <c r="B53" s="41" t="s">
        <v>205</v>
      </c>
      <c r="F53" s="41" t="s">
        <v>206</v>
      </c>
      <c r="H53" s="41" t="s">
        <v>708</v>
      </c>
      <c r="I53" s="41" t="s">
        <v>214</v>
      </c>
      <c r="K53" s="41" t="s">
        <v>216</v>
      </c>
      <c r="L53" s="41" t="s">
        <v>218</v>
      </c>
      <c r="M53" s="41" t="s">
        <v>220</v>
      </c>
      <c r="N53" s="41" t="s">
        <v>207</v>
      </c>
      <c r="O53" s="41" t="s">
        <v>222</v>
      </c>
      <c r="P53" s="41" t="s">
        <v>224</v>
      </c>
      <c r="Q53" s="41" t="s">
        <v>226</v>
      </c>
      <c r="R53" s="41" t="s">
        <v>228</v>
      </c>
      <c r="S53" s="41" t="s">
        <v>230</v>
      </c>
      <c r="T53" s="41" t="s">
        <v>232</v>
      </c>
      <c r="U53" s="41" t="s">
        <v>234</v>
      </c>
      <c r="V53" s="41" t="s">
        <v>208</v>
      </c>
    </row>
    <row r="54" spans="1:22" x14ac:dyDescent="0.25">
      <c r="A54" s="41" t="s">
        <v>45</v>
      </c>
      <c r="B54" s="41" t="s">
        <v>563</v>
      </c>
      <c r="F54" s="41" t="s">
        <v>564</v>
      </c>
      <c r="H54" s="41" t="s">
        <v>359</v>
      </c>
      <c r="I54" s="41" t="s">
        <v>589</v>
      </c>
      <c r="K54" s="41" t="s">
        <v>590</v>
      </c>
      <c r="L54" s="41" t="s">
        <v>591</v>
      </c>
      <c r="M54" s="41" t="s">
        <v>592</v>
      </c>
      <c r="N54" s="41" t="s">
        <v>565</v>
      </c>
      <c r="O54" s="41" t="s">
        <v>593</v>
      </c>
      <c r="P54" s="41" t="s">
        <v>594</v>
      </c>
      <c r="Q54" s="41" t="s">
        <v>595</v>
      </c>
      <c r="R54" s="41" t="s">
        <v>596</v>
      </c>
      <c r="S54" s="41" t="s">
        <v>597</v>
      </c>
      <c r="T54" s="41" t="s">
        <v>598</v>
      </c>
      <c r="U54" s="41" t="s">
        <v>599</v>
      </c>
      <c r="V54" s="41" t="s">
        <v>566</v>
      </c>
    </row>
    <row r="55" spans="1:22" x14ac:dyDescent="0.25">
      <c r="A55" s="41" t="s">
        <v>45</v>
      </c>
      <c r="B55" s="41" t="s">
        <v>641</v>
      </c>
      <c r="F55" s="41" t="s">
        <v>642</v>
      </c>
      <c r="H55" s="41" t="s">
        <v>250</v>
      </c>
      <c r="I55" s="41" t="s">
        <v>683</v>
      </c>
      <c r="K55" s="41" t="s">
        <v>685</v>
      </c>
      <c r="L55" s="41" t="s">
        <v>687</v>
      </c>
      <c r="M55" s="41" t="s">
        <v>689</v>
      </c>
      <c r="N55" s="41" t="s">
        <v>644</v>
      </c>
      <c r="O55" s="41" t="s">
        <v>691</v>
      </c>
      <c r="P55" s="41" t="s">
        <v>693</v>
      </c>
      <c r="Q55" s="41" t="s">
        <v>695</v>
      </c>
      <c r="R55" s="41" t="s">
        <v>697</v>
      </c>
      <c r="S55" s="41" t="s">
        <v>699</v>
      </c>
      <c r="T55" s="41" t="s">
        <v>701</v>
      </c>
      <c r="U55" s="41" t="s">
        <v>703</v>
      </c>
      <c r="V55" s="41" t="s">
        <v>645</v>
      </c>
    </row>
    <row r="56" spans="1:22" x14ac:dyDescent="0.25">
      <c r="A56" s="41" t="s">
        <v>45</v>
      </c>
      <c r="B56" s="41" t="s">
        <v>646</v>
      </c>
      <c r="F56" s="41" t="s">
        <v>647</v>
      </c>
      <c r="H56" s="41" t="s">
        <v>1038</v>
      </c>
      <c r="I56" s="41" t="s">
        <v>684</v>
      </c>
      <c r="K56" s="41" t="s">
        <v>686</v>
      </c>
      <c r="L56" s="41" t="s">
        <v>688</v>
      </c>
      <c r="M56" s="41" t="s">
        <v>690</v>
      </c>
      <c r="N56" s="41" t="s">
        <v>648</v>
      </c>
      <c r="O56" s="41" t="s">
        <v>692</v>
      </c>
      <c r="P56" s="41" t="s">
        <v>694</v>
      </c>
      <c r="Q56" s="41" t="s">
        <v>696</v>
      </c>
      <c r="R56" s="41" t="s">
        <v>698</v>
      </c>
      <c r="S56" s="41" t="s">
        <v>700</v>
      </c>
      <c r="T56" s="41" t="s">
        <v>702</v>
      </c>
      <c r="U56" s="41" t="s">
        <v>704</v>
      </c>
      <c r="V56" s="41" t="s">
        <v>649</v>
      </c>
    </row>
    <row r="57" spans="1:22" x14ac:dyDescent="0.25">
      <c r="A57" s="41" t="s">
        <v>45</v>
      </c>
    </row>
    <row r="58" spans="1:22" x14ac:dyDescent="0.25">
      <c r="A58" s="41" t="s">
        <v>45</v>
      </c>
      <c r="F58" s="41" t="s">
        <v>2185</v>
      </c>
      <c r="G58" s="41" t="s">
        <v>50</v>
      </c>
      <c r="J58" s="41" t="s">
        <v>2186</v>
      </c>
    </row>
    <row r="59" spans="1:22" x14ac:dyDescent="0.25">
      <c r="A59" s="41" t="s">
        <v>45</v>
      </c>
      <c r="B59" s="41" t="s">
        <v>1827</v>
      </c>
      <c r="F59" s="41" t="s">
        <v>1828</v>
      </c>
      <c r="H59" s="41" t="s">
        <v>2187</v>
      </c>
      <c r="I59" s="41" t="s">
        <v>2152</v>
      </c>
      <c r="K59" s="41" t="s">
        <v>2153</v>
      </c>
      <c r="L59" s="41" t="s">
        <v>2154</v>
      </c>
      <c r="M59" s="41" t="s">
        <v>2155</v>
      </c>
      <c r="N59" s="41" t="s">
        <v>1829</v>
      </c>
      <c r="O59" s="41" t="s">
        <v>2156</v>
      </c>
      <c r="P59" s="41" t="s">
        <v>2157</v>
      </c>
      <c r="Q59" s="41" t="s">
        <v>2158</v>
      </c>
      <c r="R59" s="41" t="s">
        <v>2159</v>
      </c>
      <c r="S59" s="41" t="s">
        <v>2160</v>
      </c>
      <c r="T59" s="41" t="s">
        <v>2161</v>
      </c>
      <c r="U59" s="41" t="s">
        <v>2162</v>
      </c>
      <c r="V59" s="41" t="s">
        <v>1830</v>
      </c>
    </row>
    <row r="60" spans="1:22" x14ac:dyDescent="0.25">
      <c r="A60" s="41" t="s">
        <v>45</v>
      </c>
      <c r="B60" s="41" t="s">
        <v>1591</v>
      </c>
      <c r="F60" s="41" t="s">
        <v>1592</v>
      </c>
      <c r="H60" s="41" t="s">
        <v>180</v>
      </c>
      <c r="I60" s="41" t="s">
        <v>1760</v>
      </c>
      <c r="K60" s="41" t="s">
        <v>1761</v>
      </c>
      <c r="L60" s="41" t="s">
        <v>1762</v>
      </c>
      <c r="M60" s="41" t="s">
        <v>1763</v>
      </c>
      <c r="N60" s="41" t="s">
        <v>1593</v>
      </c>
      <c r="O60" s="41" t="s">
        <v>1764</v>
      </c>
      <c r="P60" s="41" t="s">
        <v>1765</v>
      </c>
      <c r="Q60" s="41" t="s">
        <v>1766</v>
      </c>
      <c r="R60" s="41" t="s">
        <v>1767</v>
      </c>
      <c r="S60" s="41" t="s">
        <v>1768</v>
      </c>
      <c r="T60" s="41" t="s">
        <v>1769</v>
      </c>
      <c r="U60" s="41" t="s">
        <v>1770</v>
      </c>
      <c r="V60" s="41" t="s">
        <v>1594</v>
      </c>
    </row>
    <row r="61" spans="1:22" x14ac:dyDescent="0.25">
      <c r="A61" s="41" t="s">
        <v>45</v>
      </c>
      <c r="B61" s="41" t="s">
        <v>2188</v>
      </c>
      <c r="F61" s="41" t="s">
        <v>2189</v>
      </c>
      <c r="H61" s="41" t="s">
        <v>166</v>
      </c>
      <c r="I61" s="41" t="s">
        <v>2719</v>
      </c>
      <c r="K61" s="41" t="s">
        <v>2721</v>
      </c>
      <c r="L61" s="41" t="s">
        <v>2723</v>
      </c>
      <c r="M61" s="41" t="s">
        <v>2725</v>
      </c>
      <c r="N61" s="41" t="s">
        <v>2190</v>
      </c>
      <c r="O61" s="41" t="s">
        <v>2727</v>
      </c>
      <c r="P61" s="41" t="s">
        <v>2729</v>
      </c>
      <c r="Q61" s="41" t="s">
        <v>2731</v>
      </c>
      <c r="R61" s="41" t="s">
        <v>2733</v>
      </c>
      <c r="S61" s="41" t="s">
        <v>2735</v>
      </c>
      <c r="T61" s="41" t="s">
        <v>2737</v>
      </c>
      <c r="U61" s="41" t="s">
        <v>2739</v>
      </c>
      <c r="V61" s="41" t="s">
        <v>2191</v>
      </c>
    </row>
    <row r="62" spans="1:22" x14ac:dyDescent="0.25">
      <c r="A62" s="41" t="s">
        <v>45</v>
      </c>
      <c r="B62" s="41" t="s">
        <v>2192</v>
      </c>
      <c r="F62" s="41" t="s">
        <v>2193</v>
      </c>
      <c r="H62" s="41" t="s">
        <v>889</v>
      </c>
      <c r="I62" s="41" t="s">
        <v>2720</v>
      </c>
      <c r="K62" s="41" t="s">
        <v>2722</v>
      </c>
      <c r="L62" s="41" t="s">
        <v>2724</v>
      </c>
      <c r="M62" s="41" t="s">
        <v>2726</v>
      </c>
      <c r="N62" s="41" t="s">
        <v>2194</v>
      </c>
      <c r="O62" s="41" t="s">
        <v>2728</v>
      </c>
      <c r="P62" s="41" t="s">
        <v>2730</v>
      </c>
      <c r="Q62" s="41" t="s">
        <v>2732</v>
      </c>
      <c r="R62" s="41" t="s">
        <v>2734</v>
      </c>
      <c r="S62" s="41" t="s">
        <v>2736</v>
      </c>
      <c r="T62" s="41" t="s">
        <v>2738</v>
      </c>
      <c r="U62" s="41" t="s">
        <v>2740</v>
      </c>
      <c r="V62" s="41" t="s">
        <v>2195</v>
      </c>
    </row>
    <row r="63" spans="1:22" x14ac:dyDescent="0.25">
      <c r="A63" s="41" t="s">
        <v>45</v>
      </c>
      <c r="B63" s="41" t="s">
        <v>1395</v>
      </c>
      <c r="F63" s="41" t="s">
        <v>1396</v>
      </c>
      <c r="H63" s="41" t="s">
        <v>890</v>
      </c>
      <c r="I63" s="41" t="s">
        <v>1475</v>
      </c>
      <c r="K63" s="41" t="s">
        <v>1476</v>
      </c>
      <c r="L63" s="41" t="s">
        <v>1477</v>
      </c>
      <c r="M63" s="41" t="s">
        <v>1478</v>
      </c>
      <c r="N63" s="41" t="s">
        <v>1397</v>
      </c>
      <c r="O63" s="41" t="s">
        <v>1479</v>
      </c>
      <c r="P63" s="41" t="s">
        <v>1480</v>
      </c>
      <c r="Q63" s="41" t="s">
        <v>1481</v>
      </c>
      <c r="R63" s="41" t="s">
        <v>1482</v>
      </c>
      <c r="S63" s="41" t="s">
        <v>1483</v>
      </c>
      <c r="T63" s="41" t="s">
        <v>1484</v>
      </c>
      <c r="U63" s="41" t="s">
        <v>1485</v>
      </c>
      <c r="V63" s="41" t="s">
        <v>1398</v>
      </c>
    </row>
    <row r="64" spans="1:22" x14ac:dyDescent="0.25">
      <c r="A64" s="41" t="s">
        <v>45</v>
      </c>
      <c r="B64" s="41" t="s">
        <v>1231</v>
      </c>
      <c r="F64" s="41" t="s">
        <v>1232</v>
      </c>
      <c r="H64" s="41" t="s">
        <v>709</v>
      </c>
      <c r="I64" s="41" t="s">
        <v>1329</v>
      </c>
      <c r="K64" s="41" t="s">
        <v>1331</v>
      </c>
      <c r="L64" s="41" t="s">
        <v>1333</v>
      </c>
      <c r="M64" s="41" t="s">
        <v>1335</v>
      </c>
      <c r="N64" s="41" t="s">
        <v>1233</v>
      </c>
      <c r="O64" s="41" t="s">
        <v>1337</v>
      </c>
      <c r="P64" s="41" t="s">
        <v>1339</v>
      </c>
      <c r="Q64" s="41" t="s">
        <v>1341</v>
      </c>
      <c r="R64" s="41" t="s">
        <v>1343</v>
      </c>
      <c r="S64" s="41" t="s">
        <v>1345</v>
      </c>
      <c r="T64" s="41" t="s">
        <v>1347</v>
      </c>
      <c r="U64" s="41" t="s">
        <v>1349</v>
      </c>
      <c r="V64" s="41" t="s">
        <v>1234</v>
      </c>
    </row>
    <row r="65" spans="1:22" x14ac:dyDescent="0.25">
      <c r="A65" s="41" t="s">
        <v>45</v>
      </c>
      <c r="B65" s="41" t="s">
        <v>1235</v>
      </c>
      <c r="F65" s="41" t="s">
        <v>1236</v>
      </c>
      <c r="H65" s="41" t="s">
        <v>294</v>
      </c>
      <c r="I65" s="41" t="s">
        <v>1330</v>
      </c>
      <c r="K65" s="41" t="s">
        <v>1332</v>
      </c>
      <c r="L65" s="41" t="s">
        <v>1334</v>
      </c>
      <c r="M65" s="41" t="s">
        <v>1336</v>
      </c>
      <c r="N65" s="41" t="s">
        <v>1237</v>
      </c>
      <c r="O65" s="41" t="s">
        <v>1338</v>
      </c>
      <c r="P65" s="41" t="s">
        <v>1340</v>
      </c>
      <c r="Q65" s="41" t="s">
        <v>1342</v>
      </c>
      <c r="R65" s="41" t="s">
        <v>1344</v>
      </c>
      <c r="S65" s="41" t="s">
        <v>1346</v>
      </c>
      <c r="T65" s="41" t="s">
        <v>1348</v>
      </c>
      <c r="U65" s="41" t="s">
        <v>1350</v>
      </c>
      <c r="V65" s="41" t="s">
        <v>1238</v>
      </c>
    </row>
    <row r="66" spans="1:22" x14ac:dyDescent="0.25">
      <c r="A66" s="41" t="s">
        <v>45</v>
      </c>
      <c r="B66" s="41" t="s">
        <v>881</v>
      </c>
      <c r="F66" s="41" t="s">
        <v>882</v>
      </c>
      <c r="H66" s="41" t="s">
        <v>891</v>
      </c>
      <c r="I66" s="41" t="s">
        <v>930</v>
      </c>
      <c r="K66" s="41" t="s">
        <v>932</v>
      </c>
      <c r="L66" s="41" t="s">
        <v>934</v>
      </c>
      <c r="M66" s="41" t="s">
        <v>936</v>
      </c>
      <c r="N66" s="41" t="s">
        <v>883</v>
      </c>
      <c r="O66" s="41" t="s">
        <v>938</v>
      </c>
      <c r="P66" s="41" t="s">
        <v>940</v>
      </c>
      <c r="Q66" s="41" t="s">
        <v>942</v>
      </c>
      <c r="R66" s="41" t="s">
        <v>944</v>
      </c>
      <c r="S66" s="41" t="s">
        <v>946</v>
      </c>
      <c r="T66" s="41" t="s">
        <v>948</v>
      </c>
      <c r="U66" s="41" t="s">
        <v>950</v>
      </c>
      <c r="V66" s="41" t="s">
        <v>884</v>
      </c>
    </row>
    <row r="67" spans="1:22" x14ac:dyDescent="0.25">
      <c r="A67" s="41" t="s">
        <v>45</v>
      </c>
      <c r="B67" s="41" t="s">
        <v>885</v>
      </c>
      <c r="F67" s="41" t="s">
        <v>886</v>
      </c>
      <c r="H67" s="41" t="s">
        <v>892</v>
      </c>
      <c r="I67" s="41" t="s">
        <v>931</v>
      </c>
      <c r="K67" s="41" t="s">
        <v>933</v>
      </c>
      <c r="L67" s="41" t="s">
        <v>935</v>
      </c>
      <c r="M67" s="41" t="s">
        <v>937</v>
      </c>
      <c r="N67" s="41" t="s">
        <v>887</v>
      </c>
      <c r="O67" s="41" t="s">
        <v>939</v>
      </c>
      <c r="P67" s="41" t="s">
        <v>941</v>
      </c>
      <c r="Q67" s="41" t="s">
        <v>943</v>
      </c>
      <c r="R67" s="41" t="s">
        <v>945</v>
      </c>
      <c r="S67" s="41" t="s">
        <v>947</v>
      </c>
      <c r="T67" s="41" t="s">
        <v>949</v>
      </c>
      <c r="U67" s="41" t="s">
        <v>951</v>
      </c>
      <c r="V67" s="41" t="s">
        <v>888</v>
      </c>
    </row>
    <row r="68" spans="1:22" x14ac:dyDescent="0.25">
      <c r="A68" s="41" t="s">
        <v>45</v>
      </c>
      <c r="B68" s="41" t="s">
        <v>854</v>
      </c>
      <c r="F68" s="41" t="s">
        <v>855</v>
      </c>
      <c r="H68" s="41" t="s">
        <v>1194</v>
      </c>
      <c r="I68" s="41" t="s">
        <v>858</v>
      </c>
      <c r="K68" s="41" t="s">
        <v>859</v>
      </c>
      <c r="L68" s="41" t="s">
        <v>860</v>
      </c>
      <c r="M68" s="41" t="s">
        <v>861</v>
      </c>
      <c r="N68" s="41" t="s">
        <v>856</v>
      </c>
      <c r="O68" s="41" t="s">
        <v>862</v>
      </c>
      <c r="P68" s="41" t="s">
        <v>863</v>
      </c>
      <c r="Q68" s="41" t="s">
        <v>864</v>
      </c>
      <c r="R68" s="41" t="s">
        <v>865</v>
      </c>
      <c r="S68" s="41" t="s">
        <v>866</v>
      </c>
      <c r="T68" s="41" t="s">
        <v>867</v>
      </c>
      <c r="U68" s="41" t="s">
        <v>868</v>
      </c>
      <c r="V68" s="41" t="s">
        <v>857</v>
      </c>
    </row>
    <row r="69" spans="1:22" x14ac:dyDescent="0.25">
      <c r="A69" s="41" t="s">
        <v>45</v>
      </c>
      <c r="B69" s="41" t="s">
        <v>1039</v>
      </c>
      <c r="F69" s="41" t="s">
        <v>1040</v>
      </c>
      <c r="H69" s="41" t="s">
        <v>710</v>
      </c>
      <c r="I69" s="41" t="s">
        <v>1158</v>
      </c>
      <c r="K69" s="41" t="s">
        <v>1160</v>
      </c>
      <c r="L69" s="41" t="s">
        <v>1162</v>
      </c>
      <c r="M69" s="41" t="s">
        <v>1164</v>
      </c>
      <c r="N69" s="41" t="s">
        <v>1041</v>
      </c>
      <c r="O69" s="41" t="s">
        <v>1166</v>
      </c>
      <c r="P69" s="41" t="s">
        <v>1168</v>
      </c>
      <c r="Q69" s="41" t="s">
        <v>1170</v>
      </c>
      <c r="R69" s="41" t="s">
        <v>1172</v>
      </c>
      <c r="S69" s="41" t="s">
        <v>1174</v>
      </c>
      <c r="T69" s="41" t="s">
        <v>1176</v>
      </c>
      <c r="U69" s="41" t="s">
        <v>1178</v>
      </c>
      <c r="V69" s="41" t="s">
        <v>1042</v>
      </c>
    </row>
    <row r="70" spans="1:22" x14ac:dyDescent="0.25">
      <c r="A70" s="41" t="s">
        <v>45</v>
      </c>
      <c r="B70" s="41" t="s">
        <v>1043</v>
      </c>
      <c r="F70" s="41" t="s">
        <v>1044</v>
      </c>
      <c r="H70" s="41" t="s">
        <v>893</v>
      </c>
      <c r="I70" s="41" t="s">
        <v>1159</v>
      </c>
      <c r="K70" s="41" t="s">
        <v>1161</v>
      </c>
      <c r="L70" s="41" t="s">
        <v>1163</v>
      </c>
      <c r="M70" s="41" t="s">
        <v>1165</v>
      </c>
      <c r="N70" s="41" t="s">
        <v>1045</v>
      </c>
      <c r="O70" s="41" t="s">
        <v>1167</v>
      </c>
      <c r="P70" s="41" t="s">
        <v>1169</v>
      </c>
      <c r="Q70" s="41" t="s">
        <v>1171</v>
      </c>
      <c r="R70" s="41" t="s">
        <v>1173</v>
      </c>
      <c r="S70" s="41" t="s">
        <v>1175</v>
      </c>
      <c r="T70" s="41" t="s">
        <v>1177</v>
      </c>
      <c r="U70" s="41" t="s">
        <v>1179</v>
      </c>
      <c r="V70" s="41" t="s">
        <v>1046</v>
      </c>
    </row>
    <row r="71" spans="1:22" x14ac:dyDescent="0.25">
      <c r="A71" s="41" t="s">
        <v>45</v>
      </c>
      <c r="B71" s="41" t="s">
        <v>182</v>
      </c>
      <c r="F71" s="41" t="s">
        <v>183</v>
      </c>
      <c r="H71" s="41" t="s">
        <v>567</v>
      </c>
      <c r="I71" s="41" t="s">
        <v>186</v>
      </c>
      <c r="K71" s="41" t="s">
        <v>187</v>
      </c>
      <c r="L71" s="41" t="s">
        <v>188</v>
      </c>
      <c r="M71" s="41" t="s">
        <v>189</v>
      </c>
      <c r="N71" s="41" t="s">
        <v>184</v>
      </c>
      <c r="O71" s="41" t="s">
        <v>190</v>
      </c>
      <c r="P71" s="41" t="s">
        <v>191</v>
      </c>
      <c r="Q71" s="41" t="s">
        <v>192</v>
      </c>
      <c r="R71" s="41" t="s">
        <v>193</v>
      </c>
      <c r="S71" s="41" t="s">
        <v>194</v>
      </c>
      <c r="T71" s="41" t="s">
        <v>195</v>
      </c>
      <c r="U71" s="41" t="s">
        <v>196</v>
      </c>
      <c r="V71" s="41" t="s">
        <v>185</v>
      </c>
    </row>
    <row r="72" spans="1:22" x14ac:dyDescent="0.25">
      <c r="A72" s="41" t="s">
        <v>45</v>
      </c>
      <c r="B72" s="41" t="s">
        <v>518</v>
      </c>
      <c r="F72" s="41" t="s">
        <v>519</v>
      </c>
      <c r="H72" s="41" t="s">
        <v>610</v>
      </c>
      <c r="I72" s="41" t="s">
        <v>552</v>
      </c>
      <c r="K72" s="41" t="s">
        <v>553</v>
      </c>
      <c r="L72" s="41" t="s">
        <v>554</v>
      </c>
      <c r="M72" s="41" t="s">
        <v>555</v>
      </c>
      <c r="N72" s="41" t="s">
        <v>520</v>
      </c>
      <c r="O72" s="41" t="s">
        <v>556</v>
      </c>
      <c r="P72" s="41" t="s">
        <v>557</v>
      </c>
      <c r="Q72" s="41" t="s">
        <v>558</v>
      </c>
      <c r="R72" s="41" t="s">
        <v>559</v>
      </c>
      <c r="S72" s="41" t="s">
        <v>560</v>
      </c>
      <c r="T72" s="41" t="s">
        <v>561</v>
      </c>
      <c r="U72" s="41" t="s">
        <v>562</v>
      </c>
      <c r="V72" s="41" t="s">
        <v>521</v>
      </c>
    </row>
    <row r="73" spans="1:22" x14ac:dyDescent="0.25">
      <c r="A73" s="41" t="s">
        <v>45</v>
      </c>
      <c r="B73" s="41" t="s">
        <v>772</v>
      </c>
      <c r="F73" s="41" t="s">
        <v>773</v>
      </c>
      <c r="H73" s="41" t="s">
        <v>611</v>
      </c>
      <c r="I73" s="41" t="s">
        <v>795</v>
      </c>
      <c r="K73" s="41" t="s">
        <v>797</v>
      </c>
      <c r="L73" s="41" t="s">
        <v>799</v>
      </c>
      <c r="M73" s="41" t="s">
        <v>801</v>
      </c>
      <c r="N73" s="41" t="s">
        <v>774</v>
      </c>
      <c r="O73" s="41" t="s">
        <v>803</v>
      </c>
      <c r="P73" s="41" t="s">
        <v>805</v>
      </c>
      <c r="Q73" s="41" t="s">
        <v>807</v>
      </c>
      <c r="R73" s="41" t="s">
        <v>809</v>
      </c>
      <c r="S73" s="41" t="s">
        <v>811</v>
      </c>
      <c r="T73" s="41" t="s">
        <v>813</v>
      </c>
      <c r="U73" s="41" t="s">
        <v>815</v>
      </c>
      <c r="V73" s="41" t="s">
        <v>775</v>
      </c>
    </row>
    <row r="74" spans="1:22" x14ac:dyDescent="0.25">
      <c r="A74" s="41" t="s">
        <v>45</v>
      </c>
      <c r="B74" s="41" t="s">
        <v>776</v>
      </c>
      <c r="F74" s="41" t="s">
        <v>777</v>
      </c>
      <c r="H74" s="41" t="s">
        <v>568</v>
      </c>
      <c r="I74" s="41" t="s">
        <v>796</v>
      </c>
      <c r="K74" s="41" t="s">
        <v>798</v>
      </c>
      <c r="L74" s="41" t="s">
        <v>800</v>
      </c>
      <c r="M74" s="41" t="s">
        <v>802</v>
      </c>
      <c r="N74" s="41" t="s">
        <v>778</v>
      </c>
      <c r="O74" s="41" t="s">
        <v>804</v>
      </c>
      <c r="P74" s="41" t="s">
        <v>806</v>
      </c>
      <c r="Q74" s="41" t="s">
        <v>808</v>
      </c>
      <c r="R74" s="41" t="s">
        <v>810</v>
      </c>
      <c r="S74" s="41" t="s">
        <v>812</v>
      </c>
      <c r="T74" s="41" t="s">
        <v>814</v>
      </c>
      <c r="U74" s="41" t="s">
        <v>816</v>
      </c>
      <c r="V74" s="41" t="s">
        <v>779</v>
      </c>
    </row>
    <row r="75" spans="1:22" x14ac:dyDescent="0.25">
      <c r="A75" s="41" t="s">
        <v>45</v>
      </c>
      <c r="B75" s="41" t="s">
        <v>314</v>
      </c>
      <c r="F75" s="41" t="s">
        <v>315</v>
      </c>
      <c r="H75" s="41" t="s">
        <v>894</v>
      </c>
      <c r="I75" s="41" t="s">
        <v>318</v>
      </c>
      <c r="K75" s="41" t="s">
        <v>319</v>
      </c>
      <c r="L75" s="41" t="s">
        <v>320</v>
      </c>
      <c r="M75" s="41" t="s">
        <v>321</v>
      </c>
      <c r="N75" s="41" t="s">
        <v>316</v>
      </c>
      <c r="O75" s="41" t="s">
        <v>322</v>
      </c>
      <c r="P75" s="41" t="s">
        <v>323</v>
      </c>
      <c r="Q75" s="41" t="s">
        <v>324</v>
      </c>
      <c r="R75" s="41" t="s">
        <v>325</v>
      </c>
      <c r="S75" s="41" t="s">
        <v>326</v>
      </c>
      <c r="T75" s="41" t="s">
        <v>327</v>
      </c>
      <c r="U75" s="41" t="s">
        <v>328</v>
      </c>
      <c r="V75" s="41" t="s">
        <v>317</v>
      </c>
    </row>
    <row r="76" spans="1:22" x14ac:dyDescent="0.25">
      <c r="A76" s="41" t="s">
        <v>45</v>
      </c>
      <c r="B76" s="41" t="s">
        <v>360</v>
      </c>
      <c r="F76" s="41" t="s">
        <v>361</v>
      </c>
      <c r="H76" s="41" t="s">
        <v>1839</v>
      </c>
      <c r="I76" s="41" t="s">
        <v>463</v>
      </c>
      <c r="K76" s="41" t="s">
        <v>464</v>
      </c>
      <c r="L76" s="41" t="s">
        <v>465</v>
      </c>
      <c r="M76" s="41" t="s">
        <v>466</v>
      </c>
      <c r="N76" s="41" t="s">
        <v>362</v>
      </c>
      <c r="O76" s="41" t="s">
        <v>467</v>
      </c>
      <c r="P76" s="41" t="s">
        <v>468</v>
      </c>
      <c r="Q76" s="41" t="s">
        <v>469</v>
      </c>
      <c r="R76" s="41" t="s">
        <v>470</v>
      </c>
      <c r="S76" s="41" t="s">
        <v>471</v>
      </c>
      <c r="T76" s="41" t="s">
        <v>472</v>
      </c>
      <c r="U76" s="41" t="s">
        <v>473</v>
      </c>
      <c r="V76" s="41" t="s">
        <v>363</v>
      </c>
    </row>
    <row r="77" spans="1:22" x14ac:dyDescent="0.25">
      <c r="A77" s="41" t="s">
        <v>45</v>
      </c>
    </row>
    <row r="78" spans="1:22" x14ac:dyDescent="0.25">
      <c r="A78" s="41" t="s">
        <v>45</v>
      </c>
      <c r="F78" s="41" t="s">
        <v>2196</v>
      </c>
      <c r="G78" s="41" t="s">
        <v>51</v>
      </c>
      <c r="J78" s="41" t="s">
        <v>2197</v>
      </c>
    </row>
    <row r="79" spans="1:22" x14ac:dyDescent="0.25">
      <c r="A79" s="41" t="s">
        <v>45</v>
      </c>
      <c r="B79" s="41" t="s">
        <v>651</v>
      </c>
      <c r="F79" s="41" t="s">
        <v>652</v>
      </c>
      <c r="H79" s="41" t="s">
        <v>2198</v>
      </c>
      <c r="I79" s="41" t="s">
        <v>661</v>
      </c>
      <c r="K79" s="41" t="s">
        <v>663</v>
      </c>
      <c r="L79" s="41" t="s">
        <v>665</v>
      </c>
      <c r="M79" s="41" t="s">
        <v>667</v>
      </c>
      <c r="N79" s="41" t="s">
        <v>653</v>
      </c>
      <c r="O79" s="41" t="s">
        <v>669</v>
      </c>
      <c r="P79" s="41" t="s">
        <v>671</v>
      </c>
      <c r="Q79" s="41" t="s">
        <v>673</v>
      </c>
      <c r="R79" s="41" t="s">
        <v>675</v>
      </c>
      <c r="S79" s="41" t="s">
        <v>677</v>
      </c>
      <c r="T79" s="41" t="s">
        <v>679</v>
      </c>
      <c r="U79" s="41" t="s">
        <v>681</v>
      </c>
      <c r="V79" s="41" t="s">
        <v>654</v>
      </c>
    </row>
    <row r="80" spans="1:22" x14ac:dyDescent="0.25">
      <c r="A80" s="41" t="s">
        <v>45</v>
      </c>
      <c r="B80" s="41" t="s">
        <v>655</v>
      </c>
      <c r="F80" s="41" t="s">
        <v>656</v>
      </c>
      <c r="H80" s="41" t="s">
        <v>956</v>
      </c>
      <c r="I80" s="41" t="s">
        <v>662</v>
      </c>
      <c r="K80" s="41" t="s">
        <v>664</v>
      </c>
      <c r="L80" s="41" t="s">
        <v>666</v>
      </c>
      <c r="M80" s="41" t="s">
        <v>668</v>
      </c>
      <c r="N80" s="41" t="s">
        <v>657</v>
      </c>
      <c r="O80" s="41" t="s">
        <v>670</v>
      </c>
      <c r="P80" s="41" t="s">
        <v>672</v>
      </c>
      <c r="Q80" s="41" t="s">
        <v>674</v>
      </c>
      <c r="R80" s="41" t="s">
        <v>676</v>
      </c>
      <c r="S80" s="41" t="s">
        <v>678</v>
      </c>
      <c r="T80" s="41" t="s">
        <v>680</v>
      </c>
      <c r="U80" s="41" t="s">
        <v>682</v>
      </c>
      <c r="V80" s="41" t="s">
        <v>658</v>
      </c>
    </row>
    <row r="81" spans="1:22" x14ac:dyDescent="0.25">
      <c r="A81" s="41" t="s">
        <v>45</v>
      </c>
      <c r="B81" s="41" t="s">
        <v>1831</v>
      </c>
      <c r="F81" s="41" t="s">
        <v>1832</v>
      </c>
      <c r="H81" s="41" t="s">
        <v>957</v>
      </c>
      <c r="I81" s="41" t="s">
        <v>2130</v>
      </c>
      <c r="K81" s="41" t="s">
        <v>2132</v>
      </c>
      <c r="L81" s="41" t="s">
        <v>2134</v>
      </c>
      <c r="M81" s="41" t="s">
        <v>2136</v>
      </c>
      <c r="N81" s="41" t="s">
        <v>1833</v>
      </c>
      <c r="O81" s="41" t="s">
        <v>2138</v>
      </c>
      <c r="P81" s="41" t="s">
        <v>2140</v>
      </c>
      <c r="Q81" s="41" t="s">
        <v>2142</v>
      </c>
      <c r="R81" s="41" t="s">
        <v>2144</v>
      </c>
      <c r="S81" s="41" t="s">
        <v>2146</v>
      </c>
      <c r="T81" s="41" t="s">
        <v>2148</v>
      </c>
      <c r="U81" s="41" t="s">
        <v>2150</v>
      </c>
      <c r="V81" s="41" t="s">
        <v>1834</v>
      </c>
    </row>
    <row r="82" spans="1:22" x14ac:dyDescent="0.25">
      <c r="A82" s="41" t="s">
        <v>45</v>
      </c>
      <c r="B82" s="41" t="s">
        <v>1835</v>
      </c>
      <c r="F82" s="41" t="s">
        <v>1836</v>
      </c>
      <c r="H82" s="41" t="s">
        <v>569</v>
      </c>
      <c r="I82" s="41" t="s">
        <v>2131</v>
      </c>
      <c r="K82" s="41" t="s">
        <v>2133</v>
      </c>
      <c r="L82" s="41" t="s">
        <v>2135</v>
      </c>
      <c r="M82" s="41" t="s">
        <v>2137</v>
      </c>
      <c r="N82" s="41" t="s">
        <v>1837</v>
      </c>
      <c r="O82" s="41" t="s">
        <v>2139</v>
      </c>
      <c r="P82" s="41" t="s">
        <v>2141</v>
      </c>
      <c r="Q82" s="41" t="s">
        <v>2143</v>
      </c>
      <c r="R82" s="41" t="s">
        <v>2145</v>
      </c>
      <c r="S82" s="41" t="s">
        <v>2147</v>
      </c>
      <c r="T82" s="41" t="s">
        <v>2149</v>
      </c>
      <c r="U82" s="41" t="s">
        <v>2151</v>
      </c>
      <c r="V82" s="41" t="s">
        <v>1838</v>
      </c>
    </row>
    <row r="83" spans="1:22" x14ac:dyDescent="0.25">
      <c r="A83" s="41" t="s">
        <v>45</v>
      </c>
      <c r="B83" s="41" t="s">
        <v>1595</v>
      </c>
      <c r="F83" s="41" t="s">
        <v>1596</v>
      </c>
      <c r="H83" s="41" t="s">
        <v>364</v>
      </c>
      <c r="I83" s="41" t="s">
        <v>1749</v>
      </c>
      <c r="K83" s="41" t="s">
        <v>1750</v>
      </c>
      <c r="L83" s="41" t="s">
        <v>1751</v>
      </c>
      <c r="M83" s="41" t="s">
        <v>1752</v>
      </c>
      <c r="N83" s="41" t="s">
        <v>1597</v>
      </c>
      <c r="O83" s="41" t="s">
        <v>1753</v>
      </c>
      <c r="P83" s="41" t="s">
        <v>1754</v>
      </c>
      <c r="Q83" s="41" t="s">
        <v>1755</v>
      </c>
      <c r="R83" s="41" t="s">
        <v>1756</v>
      </c>
      <c r="S83" s="41" t="s">
        <v>1757</v>
      </c>
      <c r="T83" s="41" t="s">
        <v>1758</v>
      </c>
      <c r="U83" s="41" t="s">
        <v>1759</v>
      </c>
      <c r="V83" s="41" t="s">
        <v>1598</v>
      </c>
    </row>
    <row r="84" spans="1:22" x14ac:dyDescent="0.25">
      <c r="A84" s="41" t="s">
        <v>45</v>
      </c>
      <c r="B84" s="41" t="s">
        <v>2199</v>
      </c>
      <c r="F84" s="41" t="s">
        <v>2200</v>
      </c>
      <c r="H84" s="41" t="s">
        <v>1195</v>
      </c>
      <c r="I84" s="41" t="s">
        <v>2697</v>
      </c>
      <c r="K84" s="41" t="s">
        <v>2699</v>
      </c>
      <c r="L84" s="41" t="s">
        <v>2701</v>
      </c>
      <c r="M84" s="41" t="s">
        <v>2703</v>
      </c>
      <c r="N84" s="41" t="s">
        <v>2201</v>
      </c>
      <c r="O84" s="41" t="s">
        <v>2705</v>
      </c>
      <c r="P84" s="41" t="s">
        <v>2707</v>
      </c>
      <c r="Q84" s="41" t="s">
        <v>2709</v>
      </c>
      <c r="R84" s="41" t="s">
        <v>2711</v>
      </c>
      <c r="S84" s="41" t="s">
        <v>2713</v>
      </c>
      <c r="T84" s="41" t="s">
        <v>2715</v>
      </c>
      <c r="U84" s="41" t="s">
        <v>2717</v>
      </c>
      <c r="V84" s="41" t="s">
        <v>2202</v>
      </c>
    </row>
    <row r="85" spans="1:22" x14ac:dyDescent="0.25">
      <c r="A85" s="41" t="s">
        <v>45</v>
      </c>
      <c r="B85" s="41" t="s">
        <v>2203</v>
      </c>
      <c r="F85" s="41" t="s">
        <v>2204</v>
      </c>
      <c r="H85" s="41" t="s">
        <v>1047</v>
      </c>
      <c r="I85" s="41" t="s">
        <v>2698</v>
      </c>
      <c r="K85" s="41" t="s">
        <v>2700</v>
      </c>
      <c r="L85" s="41" t="s">
        <v>2702</v>
      </c>
      <c r="M85" s="41" t="s">
        <v>2704</v>
      </c>
      <c r="N85" s="41" t="s">
        <v>2205</v>
      </c>
      <c r="O85" s="41" t="s">
        <v>2706</v>
      </c>
      <c r="P85" s="41" t="s">
        <v>2708</v>
      </c>
      <c r="Q85" s="41" t="s">
        <v>2710</v>
      </c>
      <c r="R85" s="41" t="s">
        <v>2712</v>
      </c>
      <c r="S85" s="41" t="s">
        <v>2714</v>
      </c>
      <c r="T85" s="41" t="s">
        <v>2716</v>
      </c>
      <c r="U85" s="41" t="s">
        <v>2718</v>
      </c>
      <c r="V85" s="41" t="s">
        <v>2206</v>
      </c>
    </row>
    <row r="86" spans="1:22" x14ac:dyDescent="0.25">
      <c r="A86" s="41" t="s">
        <v>45</v>
      </c>
      <c r="B86" s="41" t="s">
        <v>1486</v>
      </c>
      <c r="F86" s="41" t="s">
        <v>1487</v>
      </c>
      <c r="H86" s="41" t="s">
        <v>2207</v>
      </c>
      <c r="I86" s="41" t="s">
        <v>1580</v>
      </c>
      <c r="K86" s="41" t="s">
        <v>1581</v>
      </c>
      <c r="L86" s="41" t="s">
        <v>1582</v>
      </c>
      <c r="M86" s="41" t="s">
        <v>1583</v>
      </c>
      <c r="N86" s="41" t="s">
        <v>1488</v>
      </c>
      <c r="O86" s="41" t="s">
        <v>1584</v>
      </c>
      <c r="P86" s="41" t="s">
        <v>1585</v>
      </c>
      <c r="Q86" s="41" t="s">
        <v>1586</v>
      </c>
      <c r="R86" s="41" t="s">
        <v>1587</v>
      </c>
      <c r="S86" s="41" t="s">
        <v>1588</v>
      </c>
      <c r="T86" s="41" t="s">
        <v>1589</v>
      </c>
      <c r="U86" s="41" t="s">
        <v>1590</v>
      </c>
      <c r="V86" s="41" t="s">
        <v>1489</v>
      </c>
    </row>
    <row r="87" spans="1:22" x14ac:dyDescent="0.25">
      <c r="A87" s="41" t="s">
        <v>45</v>
      </c>
      <c r="B87" s="41" t="s">
        <v>1399</v>
      </c>
      <c r="F87" s="41" t="s">
        <v>1400</v>
      </c>
      <c r="H87" s="41" t="s">
        <v>365</v>
      </c>
      <c r="I87" s="41" t="s">
        <v>1464</v>
      </c>
      <c r="K87" s="41" t="s">
        <v>1465</v>
      </c>
      <c r="L87" s="41" t="s">
        <v>1466</v>
      </c>
      <c r="M87" s="41" t="s">
        <v>1467</v>
      </c>
      <c r="N87" s="41" t="s">
        <v>1401</v>
      </c>
      <c r="O87" s="41" t="s">
        <v>1468</v>
      </c>
      <c r="P87" s="41" t="s">
        <v>1469</v>
      </c>
      <c r="Q87" s="41" t="s">
        <v>1470</v>
      </c>
      <c r="R87" s="41" t="s">
        <v>1471</v>
      </c>
      <c r="S87" s="41" t="s">
        <v>1472</v>
      </c>
      <c r="T87" s="41" t="s">
        <v>1473</v>
      </c>
      <c r="U87" s="41" t="s">
        <v>1474</v>
      </c>
      <c r="V87" s="41" t="s">
        <v>1402</v>
      </c>
    </row>
    <row r="88" spans="1:22" x14ac:dyDescent="0.25">
      <c r="A88" s="41" t="s">
        <v>45</v>
      </c>
      <c r="B88" s="41" t="s">
        <v>1239</v>
      </c>
      <c r="F88" s="41" t="s">
        <v>1240</v>
      </c>
      <c r="H88" s="41" t="s">
        <v>295</v>
      </c>
      <c r="I88" s="41" t="s">
        <v>1318</v>
      </c>
      <c r="K88" s="41" t="s">
        <v>1319</v>
      </c>
      <c r="L88" s="41" t="s">
        <v>1320</v>
      </c>
      <c r="M88" s="41" t="s">
        <v>1321</v>
      </c>
      <c r="N88" s="41" t="s">
        <v>1241</v>
      </c>
      <c r="O88" s="41" t="s">
        <v>1322</v>
      </c>
      <c r="P88" s="41" t="s">
        <v>1323</v>
      </c>
      <c r="Q88" s="41" t="s">
        <v>1324</v>
      </c>
      <c r="R88" s="41" t="s">
        <v>1325</v>
      </c>
      <c r="S88" s="41" t="s">
        <v>1326</v>
      </c>
      <c r="T88" s="41" t="s">
        <v>1327</v>
      </c>
      <c r="U88" s="41" t="s">
        <v>1328</v>
      </c>
      <c r="V88" s="41" t="s">
        <v>1242</v>
      </c>
    </row>
    <row r="89" spans="1:22" x14ac:dyDescent="0.25">
      <c r="A89" s="41" t="s">
        <v>45</v>
      </c>
    </row>
    <row r="90" spans="1:22" x14ac:dyDescent="0.25">
      <c r="A90" s="41" t="s">
        <v>45</v>
      </c>
      <c r="F90" s="41" t="s">
        <v>2208</v>
      </c>
      <c r="G90" s="41" t="s">
        <v>711</v>
      </c>
      <c r="J90" s="41" t="s">
        <v>2209</v>
      </c>
    </row>
    <row r="91" spans="1:22" x14ac:dyDescent="0.25">
      <c r="A91" s="41" t="s">
        <v>45</v>
      </c>
      <c r="B91" s="41" t="s">
        <v>612</v>
      </c>
      <c r="F91" s="41" t="s">
        <v>613</v>
      </c>
      <c r="H91" s="41" t="s">
        <v>2210</v>
      </c>
      <c r="I91" s="41" t="s">
        <v>618</v>
      </c>
      <c r="K91" s="41" t="s">
        <v>619</v>
      </c>
      <c r="L91" s="41" t="s">
        <v>620</v>
      </c>
      <c r="M91" s="41" t="s">
        <v>621</v>
      </c>
      <c r="N91" s="41" t="s">
        <v>614</v>
      </c>
      <c r="O91" s="41" t="s">
        <v>622</v>
      </c>
      <c r="P91" s="41" t="s">
        <v>623</v>
      </c>
      <c r="Q91" s="41" t="s">
        <v>624</v>
      </c>
      <c r="R91" s="41" t="s">
        <v>625</v>
      </c>
      <c r="S91" s="41" t="s">
        <v>626</v>
      </c>
      <c r="T91" s="41" t="s">
        <v>627</v>
      </c>
      <c r="U91" s="41" t="s">
        <v>628</v>
      </c>
      <c r="V91" s="41" t="s">
        <v>615</v>
      </c>
    </row>
    <row r="92" spans="1:22" x14ac:dyDescent="0.25">
      <c r="A92" s="41" t="s">
        <v>45</v>
      </c>
    </row>
    <row r="93" spans="1:22" x14ac:dyDescent="0.25">
      <c r="A93" s="41" t="s">
        <v>45</v>
      </c>
      <c r="F93" s="41" t="s">
        <v>2211</v>
      </c>
      <c r="G93" s="41" t="s">
        <v>209</v>
      </c>
      <c r="J93" s="41" t="s">
        <v>2212</v>
      </c>
    </row>
    <row r="94" spans="1:22" x14ac:dyDescent="0.25">
      <c r="A94" s="41" t="s">
        <v>45</v>
      </c>
      <c r="B94" s="41" t="s">
        <v>1599</v>
      </c>
      <c r="F94" s="41" t="s">
        <v>1600</v>
      </c>
      <c r="H94" s="41" t="s">
        <v>2213</v>
      </c>
      <c r="I94" s="41" t="s">
        <v>1601</v>
      </c>
      <c r="K94" s="41" t="s">
        <v>1602</v>
      </c>
      <c r="L94" s="41" t="s">
        <v>1603</v>
      </c>
      <c r="M94" s="41" t="s">
        <v>1604</v>
      </c>
      <c r="N94" s="41" t="s">
        <v>1605</v>
      </c>
      <c r="O94" s="41" t="s">
        <v>1606</v>
      </c>
      <c r="P94" s="41" t="s">
        <v>1607</v>
      </c>
      <c r="Q94" s="41" t="s">
        <v>1608</v>
      </c>
      <c r="R94" s="41" t="s">
        <v>1609</v>
      </c>
      <c r="S94" s="41" t="s">
        <v>1610</v>
      </c>
      <c r="T94" s="41" t="s">
        <v>1611</v>
      </c>
      <c r="U94" s="41" t="s">
        <v>1612</v>
      </c>
      <c r="V94" s="41" t="s">
        <v>1613</v>
      </c>
    </row>
    <row r="95" spans="1:22" x14ac:dyDescent="0.25">
      <c r="A95" s="41" t="s">
        <v>45</v>
      </c>
      <c r="B95" s="41" t="s">
        <v>2214</v>
      </c>
      <c r="F95" s="41" t="s">
        <v>2215</v>
      </c>
      <c r="H95" s="41" t="s">
        <v>296</v>
      </c>
      <c r="I95" s="41" t="s">
        <v>2216</v>
      </c>
      <c r="K95" s="41" t="s">
        <v>2217</v>
      </c>
      <c r="L95" s="41" t="s">
        <v>2218</v>
      </c>
      <c r="M95" s="41" t="s">
        <v>2219</v>
      </c>
      <c r="N95" s="41" t="s">
        <v>2220</v>
      </c>
      <c r="O95" s="41" t="s">
        <v>2221</v>
      </c>
      <c r="P95" s="41" t="s">
        <v>2222</v>
      </c>
      <c r="Q95" s="41" t="s">
        <v>2223</v>
      </c>
      <c r="R95" s="41" t="s">
        <v>2224</v>
      </c>
      <c r="S95" s="41" t="s">
        <v>2225</v>
      </c>
      <c r="T95" s="41" t="s">
        <v>2226</v>
      </c>
      <c r="U95" s="41" t="s">
        <v>2227</v>
      </c>
      <c r="V95" s="41" t="s">
        <v>2228</v>
      </c>
    </row>
    <row r="96" spans="1:22" x14ac:dyDescent="0.25">
      <c r="A96" s="41" t="s">
        <v>45</v>
      </c>
    </row>
    <row r="97" spans="1:22" x14ac:dyDescent="0.25">
      <c r="A97" s="41" t="s">
        <v>45</v>
      </c>
      <c r="F97" s="41" t="s">
        <v>2229</v>
      </c>
      <c r="G97" s="41" t="s">
        <v>52</v>
      </c>
      <c r="J97" s="41" t="s">
        <v>2230</v>
      </c>
    </row>
    <row r="98" spans="1:22" x14ac:dyDescent="0.25">
      <c r="A98" s="41" t="s">
        <v>45</v>
      </c>
      <c r="B98" s="41" t="s">
        <v>2231</v>
      </c>
      <c r="F98" s="41" t="s">
        <v>2232</v>
      </c>
      <c r="H98" s="41" t="s">
        <v>2233</v>
      </c>
      <c r="I98" s="41" t="s">
        <v>2653</v>
      </c>
      <c r="K98" s="41" t="s">
        <v>2657</v>
      </c>
      <c r="L98" s="41" t="s">
        <v>2661</v>
      </c>
      <c r="M98" s="41" t="s">
        <v>2665</v>
      </c>
      <c r="N98" s="41" t="s">
        <v>2234</v>
      </c>
      <c r="O98" s="41" t="s">
        <v>2669</v>
      </c>
      <c r="P98" s="41" t="s">
        <v>2673</v>
      </c>
      <c r="Q98" s="41" t="s">
        <v>2677</v>
      </c>
      <c r="R98" s="41" t="s">
        <v>2681</v>
      </c>
      <c r="S98" s="41" t="s">
        <v>2685</v>
      </c>
      <c r="T98" s="41" t="s">
        <v>2689</v>
      </c>
      <c r="U98" s="41" t="s">
        <v>2693</v>
      </c>
      <c r="V98" s="41" t="s">
        <v>2235</v>
      </c>
    </row>
    <row r="99" spans="1:22" x14ac:dyDescent="0.25">
      <c r="A99" s="41" t="s">
        <v>45</v>
      </c>
      <c r="B99" s="41" t="s">
        <v>2236</v>
      </c>
      <c r="F99" s="41" t="s">
        <v>2237</v>
      </c>
      <c r="H99" s="41" t="s">
        <v>1052</v>
      </c>
      <c r="I99" s="41" t="s">
        <v>2654</v>
      </c>
      <c r="K99" s="41" t="s">
        <v>2658</v>
      </c>
      <c r="L99" s="41" t="s">
        <v>2662</v>
      </c>
      <c r="M99" s="41" t="s">
        <v>2666</v>
      </c>
      <c r="N99" s="41" t="s">
        <v>2238</v>
      </c>
      <c r="O99" s="41" t="s">
        <v>2670</v>
      </c>
      <c r="P99" s="41" t="s">
        <v>2674</v>
      </c>
      <c r="Q99" s="41" t="s">
        <v>2678</v>
      </c>
      <c r="R99" s="41" t="s">
        <v>2682</v>
      </c>
      <c r="S99" s="41" t="s">
        <v>2686</v>
      </c>
      <c r="T99" s="41" t="s">
        <v>2690</v>
      </c>
      <c r="U99" s="41" t="s">
        <v>2694</v>
      </c>
      <c r="V99" s="41" t="s">
        <v>2239</v>
      </c>
    </row>
    <row r="100" spans="1:22" x14ac:dyDescent="0.25">
      <c r="A100" s="41" t="s">
        <v>45</v>
      </c>
      <c r="B100" s="41" t="s">
        <v>1840</v>
      </c>
      <c r="F100" s="41" t="s">
        <v>1841</v>
      </c>
      <c r="H100" s="41" t="s">
        <v>210</v>
      </c>
      <c r="I100" s="41" t="s">
        <v>1842</v>
      </c>
      <c r="K100" s="41" t="s">
        <v>1843</v>
      </c>
      <c r="L100" s="41" t="s">
        <v>1844</v>
      </c>
      <c r="M100" s="41" t="s">
        <v>1845</v>
      </c>
      <c r="N100" s="41" t="s">
        <v>1846</v>
      </c>
      <c r="O100" s="41" t="s">
        <v>1847</v>
      </c>
      <c r="P100" s="41" t="s">
        <v>1848</v>
      </c>
      <c r="Q100" s="41" t="s">
        <v>1849</v>
      </c>
      <c r="R100" s="41" t="s">
        <v>1850</v>
      </c>
      <c r="S100" s="41" t="s">
        <v>1851</v>
      </c>
      <c r="T100" s="41" t="s">
        <v>1852</v>
      </c>
      <c r="U100" s="41" t="s">
        <v>1853</v>
      </c>
      <c r="V100" s="41" t="s">
        <v>1854</v>
      </c>
    </row>
    <row r="101" spans="1:22" x14ac:dyDescent="0.25">
      <c r="A101" s="41" t="s">
        <v>45</v>
      </c>
      <c r="B101" s="41" t="s">
        <v>1614</v>
      </c>
      <c r="F101" s="41" t="s">
        <v>1615</v>
      </c>
      <c r="H101" s="41" t="s">
        <v>167</v>
      </c>
      <c r="I101" s="41" t="s">
        <v>1738</v>
      </c>
      <c r="K101" s="41" t="s">
        <v>1739</v>
      </c>
      <c r="L101" s="41" t="s">
        <v>1740</v>
      </c>
      <c r="M101" s="41" t="s">
        <v>1741</v>
      </c>
      <c r="N101" s="41" t="s">
        <v>1616</v>
      </c>
      <c r="O101" s="41" t="s">
        <v>1742</v>
      </c>
      <c r="P101" s="41" t="s">
        <v>1743</v>
      </c>
      <c r="Q101" s="41" t="s">
        <v>1744</v>
      </c>
      <c r="R101" s="41" t="s">
        <v>1745</v>
      </c>
      <c r="S101" s="41" t="s">
        <v>1746</v>
      </c>
      <c r="T101" s="41" t="s">
        <v>1747</v>
      </c>
      <c r="U101" s="41" t="s">
        <v>1748</v>
      </c>
      <c r="V101" s="41" t="s">
        <v>1617</v>
      </c>
    </row>
    <row r="102" spans="1:22" x14ac:dyDescent="0.25">
      <c r="A102" s="41" t="s">
        <v>45</v>
      </c>
      <c r="B102" s="41" t="s">
        <v>2240</v>
      </c>
      <c r="F102" s="41" t="s">
        <v>2241</v>
      </c>
      <c r="H102" s="41" t="s">
        <v>168</v>
      </c>
      <c r="I102" s="41" t="s">
        <v>2655</v>
      </c>
      <c r="K102" s="41" t="s">
        <v>2659</v>
      </c>
      <c r="L102" s="41" t="s">
        <v>2663</v>
      </c>
      <c r="M102" s="41" t="s">
        <v>2667</v>
      </c>
      <c r="N102" s="41" t="s">
        <v>2242</v>
      </c>
      <c r="O102" s="41" t="s">
        <v>2671</v>
      </c>
      <c r="P102" s="41" t="s">
        <v>2675</v>
      </c>
      <c r="Q102" s="41" t="s">
        <v>2679</v>
      </c>
      <c r="R102" s="41" t="s">
        <v>2683</v>
      </c>
      <c r="S102" s="41" t="s">
        <v>2687</v>
      </c>
      <c r="T102" s="41" t="s">
        <v>2691</v>
      </c>
      <c r="U102" s="41" t="s">
        <v>2695</v>
      </c>
      <c r="V102" s="41" t="s">
        <v>2243</v>
      </c>
    </row>
    <row r="103" spans="1:22" x14ac:dyDescent="0.25">
      <c r="A103" s="41" t="s">
        <v>45</v>
      </c>
      <c r="B103" s="41" t="s">
        <v>2244</v>
      </c>
      <c r="F103" s="41" t="s">
        <v>2245</v>
      </c>
      <c r="H103" s="41" t="s">
        <v>169</v>
      </c>
      <c r="I103" s="41" t="s">
        <v>2656</v>
      </c>
      <c r="K103" s="41" t="s">
        <v>2660</v>
      </c>
      <c r="L103" s="41" t="s">
        <v>2664</v>
      </c>
      <c r="M103" s="41" t="s">
        <v>2668</v>
      </c>
      <c r="N103" s="41" t="s">
        <v>2246</v>
      </c>
      <c r="O103" s="41" t="s">
        <v>2672</v>
      </c>
      <c r="P103" s="41" t="s">
        <v>2676</v>
      </c>
      <c r="Q103" s="41" t="s">
        <v>2680</v>
      </c>
      <c r="R103" s="41" t="s">
        <v>2684</v>
      </c>
      <c r="S103" s="41" t="s">
        <v>2688</v>
      </c>
      <c r="T103" s="41" t="s">
        <v>2692</v>
      </c>
      <c r="U103" s="41" t="s">
        <v>2696</v>
      </c>
      <c r="V103" s="41" t="s">
        <v>2247</v>
      </c>
    </row>
    <row r="104" spans="1:22" x14ac:dyDescent="0.25">
      <c r="A104" s="41" t="s">
        <v>45</v>
      </c>
    </row>
    <row r="105" spans="1:22" x14ac:dyDescent="0.25">
      <c r="A105" s="41" t="s">
        <v>45</v>
      </c>
      <c r="F105" s="41" t="s">
        <v>2248</v>
      </c>
      <c r="G105" s="41" t="s">
        <v>100</v>
      </c>
      <c r="J105" s="41" t="s">
        <v>2249</v>
      </c>
    </row>
    <row r="106" spans="1:22" x14ac:dyDescent="0.25">
      <c r="A106" s="41" t="s">
        <v>45</v>
      </c>
      <c r="B106" s="41" t="s">
        <v>1048</v>
      </c>
      <c r="F106" s="41" t="s">
        <v>1049</v>
      </c>
      <c r="H106" s="41" t="s">
        <v>2250</v>
      </c>
      <c r="I106" s="41" t="s">
        <v>1147</v>
      </c>
      <c r="K106" s="41" t="s">
        <v>1148</v>
      </c>
      <c r="L106" s="41" t="s">
        <v>1149</v>
      </c>
      <c r="M106" s="41" t="s">
        <v>1150</v>
      </c>
      <c r="N106" s="41" t="s">
        <v>1050</v>
      </c>
      <c r="O106" s="41" t="s">
        <v>1151</v>
      </c>
      <c r="P106" s="41" t="s">
        <v>1152</v>
      </c>
      <c r="Q106" s="41" t="s">
        <v>1153</v>
      </c>
      <c r="R106" s="41" t="s">
        <v>1154</v>
      </c>
      <c r="S106" s="41" t="s">
        <v>1155</v>
      </c>
      <c r="T106" s="41" t="s">
        <v>1156</v>
      </c>
      <c r="U106" s="41" t="s">
        <v>1157</v>
      </c>
      <c r="V106" s="41" t="s">
        <v>1051</v>
      </c>
    </row>
    <row r="107" spans="1:22" x14ac:dyDescent="0.25">
      <c r="A107" s="41" t="s">
        <v>45</v>
      </c>
      <c r="B107" s="41" t="s">
        <v>1855</v>
      </c>
      <c r="F107" s="41" t="s">
        <v>1856</v>
      </c>
      <c r="H107" s="41" t="s">
        <v>366</v>
      </c>
      <c r="I107" s="41" t="s">
        <v>2119</v>
      </c>
      <c r="K107" s="41" t="s">
        <v>2120</v>
      </c>
      <c r="L107" s="41" t="s">
        <v>2121</v>
      </c>
      <c r="M107" s="41" t="s">
        <v>2122</v>
      </c>
      <c r="N107" s="41" t="s">
        <v>1857</v>
      </c>
      <c r="O107" s="41" t="s">
        <v>2123</v>
      </c>
      <c r="P107" s="41" t="s">
        <v>2124</v>
      </c>
      <c r="Q107" s="41" t="s">
        <v>2125</v>
      </c>
      <c r="R107" s="41" t="s">
        <v>2126</v>
      </c>
      <c r="S107" s="41" t="s">
        <v>2127</v>
      </c>
      <c r="T107" s="41" t="s">
        <v>2128</v>
      </c>
      <c r="U107" s="41" t="s">
        <v>2129</v>
      </c>
      <c r="V107" s="41" t="s">
        <v>1858</v>
      </c>
    </row>
    <row r="108" spans="1:22" x14ac:dyDescent="0.25">
      <c r="A108" s="41" t="s">
        <v>45</v>
      </c>
    </row>
    <row r="109" spans="1:22" x14ac:dyDescent="0.25">
      <c r="A109" s="41" t="s">
        <v>45</v>
      </c>
      <c r="F109" s="41" t="s">
        <v>2251</v>
      </c>
      <c r="G109" s="41" t="s">
        <v>53</v>
      </c>
      <c r="J109" s="41" t="s">
        <v>2252</v>
      </c>
    </row>
    <row r="110" spans="1:22" x14ac:dyDescent="0.25">
      <c r="A110" s="41" t="s">
        <v>45</v>
      </c>
      <c r="B110" s="41" t="s">
        <v>2253</v>
      </c>
      <c r="F110" s="41" t="s">
        <v>2254</v>
      </c>
      <c r="H110" s="41" t="s">
        <v>2255</v>
      </c>
      <c r="I110" s="41" t="s">
        <v>2609</v>
      </c>
      <c r="K110" s="41" t="s">
        <v>2613</v>
      </c>
      <c r="L110" s="41" t="s">
        <v>2617</v>
      </c>
      <c r="M110" s="41" t="s">
        <v>2621</v>
      </c>
      <c r="N110" s="41" t="s">
        <v>2256</v>
      </c>
      <c r="O110" s="41" t="s">
        <v>2625</v>
      </c>
      <c r="P110" s="41" t="s">
        <v>2629</v>
      </c>
      <c r="Q110" s="41" t="s">
        <v>2633</v>
      </c>
      <c r="R110" s="41" t="s">
        <v>2637</v>
      </c>
      <c r="S110" s="41" t="s">
        <v>2641</v>
      </c>
      <c r="T110" s="41" t="s">
        <v>2645</v>
      </c>
      <c r="U110" s="41" t="s">
        <v>2649</v>
      </c>
      <c r="V110" s="41" t="s">
        <v>2257</v>
      </c>
    </row>
    <row r="111" spans="1:22" x14ac:dyDescent="0.25">
      <c r="A111" s="41" t="s">
        <v>45</v>
      </c>
      <c r="B111" s="41" t="s">
        <v>2258</v>
      </c>
      <c r="F111" s="41" t="s">
        <v>2259</v>
      </c>
      <c r="H111" s="41" t="s">
        <v>659</v>
      </c>
      <c r="I111" s="41" t="s">
        <v>2610</v>
      </c>
      <c r="K111" s="41" t="s">
        <v>2614</v>
      </c>
      <c r="L111" s="41" t="s">
        <v>2618</v>
      </c>
      <c r="M111" s="41" t="s">
        <v>2622</v>
      </c>
      <c r="N111" s="41" t="s">
        <v>2260</v>
      </c>
      <c r="O111" s="41" t="s">
        <v>2626</v>
      </c>
      <c r="P111" s="41" t="s">
        <v>2630</v>
      </c>
      <c r="Q111" s="41" t="s">
        <v>2634</v>
      </c>
      <c r="R111" s="41" t="s">
        <v>2638</v>
      </c>
      <c r="S111" s="41" t="s">
        <v>2642</v>
      </c>
      <c r="T111" s="41" t="s">
        <v>2646</v>
      </c>
      <c r="U111" s="41" t="s">
        <v>2650</v>
      </c>
      <c r="V111" s="41" t="s">
        <v>2261</v>
      </c>
    </row>
    <row r="112" spans="1:22" x14ac:dyDescent="0.25">
      <c r="A112" s="41" t="s">
        <v>45</v>
      </c>
      <c r="B112" s="41" t="s">
        <v>1859</v>
      </c>
      <c r="F112" s="41" t="s">
        <v>1860</v>
      </c>
      <c r="H112" s="41" t="s">
        <v>367</v>
      </c>
      <c r="I112" s="41" t="s">
        <v>1861</v>
      </c>
      <c r="K112" s="41" t="s">
        <v>1862</v>
      </c>
      <c r="L112" s="41" t="s">
        <v>1863</v>
      </c>
      <c r="M112" s="41" t="s">
        <v>1864</v>
      </c>
      <c r="N112" s="41" t="s">
        <v>1865</v>
      </c>
      <c r="O112" s="41" t="s">
        <v>1866</v>
      </c>
      <c r="P112" s="41" t="s">
        <v>1867</v>
      </c>
      <c r="Q112" s="41" t="s">
        <v>1868</v>
      </c>
      <c r="R112" s="41" t="s">
        <v>1869</v>
      </c>
      <c r="S112" s="41" t="s">
        <v>1870</v>
      </c>
      <c r="T112" s="41" t="s">
        <v>1871</v>
      </c>
      <c r="U112" s="41" t="s">
        <v>1872</v>
      </c>
      <c r="V112" s="41" t="s">
        <v>1873</v>
      </c>
    </row>
    <row r="113" spans="1:22" x14ac:dyDescent="0.25">
      <c r="A113" s="41" t="s">
        <v>45</v>
      </c>
      <c r="B113" s="41" t="s">
        <v>1618</v>
      </c>
      <c r="F113" s="41" t="s">
        <v>1619</v>
      </c>
      <c r="H113" s="41" t="s">
        <v>368</v>
      </c>
      <c r="I113" s="41" t="s">
        <v>1727</v>
      </c>
      <c r="K113" s="41" t="s">
        <v>1728</v>
      </c>
      <c r="L113" s="41" t="s">
        <v>1729</v>
      </c>
      <c r="M113" s="41" t="s">
        <v>1730</v>
      </c>
      <c r="N113" s="41" t="s">
        <v>1620</v>
      </c>
      <c r="O113" s="41" t="s">
        <v>1731</v>
      </c>
      <c r="P113" s="41" t="s">
        <v>1732</v>
      </c>
      <c r="Q113" s="41" t="s">
        <v>1733</v>
      </c>
      <c r="R113" s="41" t="s">
        <v>1734</v>
      </c>
      <c r="S113" s="41" t="s">
        <v>1735</v>
      </c>
      <c r="T113" s="41" t="s">
        <v>1736</v>
      </c>
      <c r="U113" s="41" t="s">
        <v>1737</v>
      </c>
      <c r="V113" s="41" t="s">
        <v>1621</v>
      </c>
    </row>
    <row r="114" spans="1:22" x14ac:dyDescent="0.25">
      <c r="A114" s="41" t="s">
        <v>45</v>
      </c>
      <c r="B114" s="41" t="s">
        <v>2262</v>
      </c>
      <c r="F114" s="41" t="s">
        <v>2263</v>
      </c>
      <c r="H114" s="41" t="s">
        <v>369</v>
      </c>
      <c r="I114" s="41" t="s">
        <v>2611</v>
      </c>
      <c r="K114" s="41" t="s">
        <v>2615</v>
      </c>
      <c r="L114" s="41" t="s">
        <v>2619</v>
      </c>
      <c r="M114" s="41" t="s">
        <v>2623</v>
      </c>
      <c r="N114" s="41" t="s">
        <v>2264</v>
      </c>
      <c r="O114" s="41" t="s">
        <v>2627</v>
      </c>
      <c r="P114" s="41" t="s">
        <v>2631</v>
      </c>
      <c r="Q114" s="41" t="s">
        <v>2635</v>
      </c>
      <c r="R114" s="41" t="s">
        <v>2639</v>
      </c>
      <c r="S114" s="41" t="s">
        <v>2643</v>
      </c>
      <c r="T114" s="41" t="s">
        <v>2647</v>
      </c>
      <c r="U114" s="41" t="s">
        <v>2651</v>
      </c>
      <c r="V114" s="41" t="s">
        <v>2265</v>
      </c>
    </row>
    <row r="115" spans="1:22" x14ac:dyDescent="0.25">
      <c r="A115" s="41" t="s">
        <v>45</v>
      </c>
      <c r="B115" s="41" t="s">
        <v>2266</v>
      </c>
      <c r="F115" s="41" t="s">
        <v>2267</v>
      </c>
      <c r="H115" s="41" t="s">
        <v>1196</v>
      </c>
      <c r="I115" s="41" t="s">
        <v>2612</v>
      </c>
      <c r="K115" s="41" t="s">
        <v>2616</v>
      </c>
      <c r="L115" s="41" t="s">
        <v>2620</v>
      </c>
      <c r="M115" s="41" t="s">
        <v>2624</v>
      </c>
      <c r="N115" s="41" t="s">
        <v>2268</v>
      </c>
      <c r="O115" s="41" t="s">
        <v>2628</v>
      </c>
      <c r="P115" s="41" t="s">
        <v>2632</v>
      </c>
      <c r="Q115" s="41" t="s">
        <v>2636</v>
      </c>
      <c r="R115" s="41" t="s">
        <v>2640</v>
      </c>
      <c r="S115" s="41" t="s">
        <v>2644</v>
      </c>
      <c r="T115" s="41" t="s">
        <v>2648</v>
      </c>
      <c r="U115" s="41" t="s">
        <v>2652</v>
      </c>
      <c r="V115" s="41" t="s">
        <v>2269</v>
      </c>
    </row>
    <row r="116" spans="1:22" x14ac:dyDescent="0.25">
      <c r="A116" s="41" t="s">
        <v>45</v>
      </c>
      <c r="B116" s="41" t="s">
        <v>1490</v>
      </c>
      <c r="F116" s="41" t="s">
        <v>1491</v>
      </c>
      <c r="H116" s="41" t="s">
        <v>370</v>
      </c>
      <c r="I116" s="41" t="s">
        <v>1558</v>
      </c>
      <c r="K116" s="41" t="s">
        <v>1560</v>
      </c>
      <c r="L116" s="41" t="s">
        <v>1562</v>
      </c>
      <c r="M116" s="41" t="s">
        <v>1564</v>
      </c>
      <c r="N116" s="41" t="s">
        <v>1492</v>
      </c>
      <c r="O116" s="41" t="s">
        <v>1566</v>
      </c>
      <c r="P116" s="41" t="s">
        <v>1568</v>
      </c>
      <c r="Q116" s="41" t="s">
        <v>1570</v>
      </c>
      <c r="R116" s="41" t="s">
        <v>1572</v>
      </c>
      <c r="S116" s="41" t="s">
        <v>1574</v>
      </c>
      <c r="T116" s="41" t="s">
        <v>1576</v>
      </c>
      <c r="U116" s="41" t="s">
        <v>1578</v>
      </c>
      <c r="V116" s="41" t="s">
        <v>1493</v>
      </c>
    </row>
    <row r="117" spans="1:22" x14ac:dyDescent="0.25">
      <c r="A117" s="41" t="s">
        <v>45</v>
      </c>
      <c r="B117" s="41" t="s">
        <v>1494</v>
      </c>
      <c r="F117" s="41" t="s">
        <v>1495</v>
      </c>
      <c r="H117" s="41" t="s">
        <v>616</v>
      </c>
      <c r="I117" s="41" t="s">
        <v>1559</v>
      </c>
      <c r="K117" s="41" t="s">
        <v>1561</v>
      </c>
      <c r="L117" s="41" t="s">
        <v>1563</v>
      </c>
      <c r="M117" s="41" t="s">
        <v>1565</v>
      </c>
      <c r="N117" s="41" t="s">
        <v>1496</v>
      </c>
      <c r="O117" s="41" t="s">
        <v>1567</v>
      </c>
      <c r="P117" s="41" t="s">
        <v>1569</v>
      </c>
      <c r="Q117" s="41" t="s">
        <v>1571</v>
      </c>
      <c r="R117" s="41" t="s">
        <v>1573</v>
      </c>
      <c r="S117" s="41" t="s">
        <v>1575</v>
      </c>
      <c r="T117" s="41" t="s">
        <v>1577</v>
      </c>
      <c r="U117" s="41" t="s">
        <v>1579</v>
      </c>
      <c r="V117" s="41" t="s">
        <v>1497</v>
      </c>
    </row>
    <row r="118" spans="1:22" x14ac:dyDescent="0.25">
      <c r="A118" s="41" t="s">
        <v>45</v>
      </c>
      <c r="B118" s="41" t="s">
        <v>1403</v>
      </c>
      <c r="F118" s="41" t="s">
        <v>1404</v>
      </c>
      <c r="H118" s="41" t="s">
        <v>371</v>
      </c>
      <c r="I118" s="41" t="s">
        <v>1453</v>
      </c>
      <c r="K118" s="41" t="s">
        <v>1454</v>
      </c>
      <c r="L118" s="41" t="s">
        <v>1455</v>
      </c>
      <c r="M118" s="41" t="s">
        <v>1456</v>
      </c>
      <c r="N118" s="41" t="s">
        <v>1405</v>
      </c>
      <c r="O118" s="41" t="s">
        <v>1457</v>
      </c>
      <c r="P118" s="41" t="s">
        <v>1458</v>
      </c>
      <c r="Q118" s="41" t="s">
        <v>1459</v>
      </c>
      <c r="R118" s="41" t="s">
        <v>1460</v>
      </c>
      <c r="S118" s="41" t="s">
        <v>1461</v>
      </c>
      <c r="T118" s="41" t="s">
        <v>1462</v>
      </c>
      <c r="U118" s="41" t="s">
        <v>1463</v>
      </c>
      <c r="V118" s="41" t="s">
        <v>1406</v>
      </c>
    </row>
    <row r="119" spans="1:22" x14ac:dyDescent="0.25">
      <c r="A119" s="41" t="s">
        <v>45</v>
      </c>
      <c r="B119" s="41" t="s">
        <v>958</v>
      </c>
      <c r="F119" s="41" t="s">
        <v>959</v>
      </c>
      <c r="H119" s="41" t="s">
        <v>372</v>
      </c>
      <c r="I119" s="41" t="s">
        <v>1011</v>
      </c>
      <c r="K119" s="41" t="s">
        <v>1012</v>
      </c>
      <c r="L119" s="41" t="s">
        <v>1013</v>
      </c>
      <c r="M119" s="41" t="s">
        <v>1014</v>
      </c>
      <c r="N119" s="41" t="s">
        <v>960</v>
      </c>
      <c r="O119" s="41" t="s">
        <v>1015</v>
      </c>
      <c r="P119" s="41" t="s">
        <v>1016</v>
      </c>
      <c r="Q119" s="41" t="s">
        <v>1017</v>
      </c>
      <c r="R119" s="41" t="s">
        <v>1018</v>
      </c>
      <c r="S119" s="41" t="s">
        <v>1019</v>
      </c>
      <c r="T119" s="41" t="s">
        <v>1020</v>
      </c>
      <c r="U119" s="41" t="s">
        <v>1021</v>
      </c>
      <c r="V119" s="41" t="s">
        <v>961</v>
      </c>
    </row>
    <row r="120" spans="1:22" x14ac:dyDescent="0.25">
      <c r="A120" s="41" t="s">
        <v>45</v>
      </c>
      <c r="B120" s="41" t="s">
        <v>1053</v>
      </c>
      <c r="F120" s="41" t="s">
        <v>1054</v>
      </c>
      <c r="H120" s="41" t="s">
        <v>895</v>
      </c>
      <c r="I120" s="41" t="s">
        <v>1136</v>
      </c>
      <c r="K120" s="41" t="s">
        <v>1137</v>
      </c>
      <c r="L120" s="41" t="s">
        <v>1138</v>
      </c>
      <c r="M120" s="41" t="s">
        <v>1139</v>
      </c>
      <c r="N120" s="41" t="s">
        <v>1055</v>
      </c>
      <c r="O120" s="41" t="s">
        <v>1140</v>
      </c>
      <c r="P120" s="41" t="s">
        <v>1141</v>
      </c>
      <c r="Q120" s="41" t="s">
        <v>1142</v>
      </c>
      <c r="R120" s="41" t="s">
        <v>1143</v>
      </c>
      <c r="S120" s="41" t="s">
        <v>1144</v>
      </c>
      <c r="T120" s="41" t="s">
        <v>1145</v>
      </c>
      <c r="U120" s="41" t="s">
        <v>1146</v>
      </c>
      <c r="V120" s="41" t="s">
        <v>1056</v>
      </c>
    </row>
    <row r="121" spans="1:22" x14ac:dyDescent="0.25">
      <c r="A121" s="41" t="s">
        <v>45</v>
      </c>
      <c r="B121" s="41" t="s">
        <v>1243</v>
      </c>
      <c r="F121" s="41" t="s">
        <v>1244</v>
      </c>
      <c r="H121" s="41" t="s">
        <v>373</v>
      </c>
      <c r="I121" s="41" t="s">
        <v>1307</v>
      </c>
      <c r="K121" s="41" t="s">
        <v>1308</v>
      </c>
      <c r="L121" s="41" t="s">
        <v>1309</v>
      </c>
      <c r="M121" s="41" t="s">
        <v>1310</v>
      </c>
      <c r="N121" s="41" t="s">
        <v>1245</v>
      </c>
      <c r="O121" s="41" t="s">
        <v>1311</v>
      </c>
      <c r="P121" s="41" t="s">
        <v>1312</v>
      </c>
      <c r="Q121" s="41" t="s">
        <v>1313</v>
      </c>
      <c r="R121" s="41" t="s">
        <v>1314</v>
      </c>
      <c r="S121" s="41" t="s">
        <v>1315</v>
      </c>
      <c r="T121" s="41" t="s">
        <v>1316</v>
      </c>
      <c r="U121" s="41" t="s">
        <v>1317</v>
      </c>
      <c r="V121" s="41" t="s">
        <v>1246</v>
      </c>
    </row>
    <row r="122" spans="1:22" x14ac:dyDescent="0.25">
      <c r="A122" s="41" t="s">
        <v>45</v>
      </c>
    </row>
    <row r="123" spans="1:22" x14ac:dyDescent="0.25">
      <c r="A123" s="41" t="s">
        <v>45</v>
      </c>
      <c r="F123" s="41" t="s">
        <v>2270</v>
      </c>
      <c r="G123" s="41" t="s">
        <v>54</v>
      </c>
      <c r="J123" s="41" t="s">
        <v>2271</v>
      </c>
    </row>
    <row r="124" spans="1:22" x14ac:dyDescent="0.25">
      <c r="A124" s="41" t="s">
        <v>45</v>
      </c>
      <c r="B124" s="41" t="s">
        <v>962</v>
      </c>
      <c r="F124" s="41" t="s">
        <v>963</v>
      </c>
      <c r="H124" s="41" t="s">
        <v>2272</v>
      </c>
      <c r="I124" s="41" t="s">
        <v>1000</v>
      </c>
      <c r="K124" s="41" t="s">
        <v>1001</v>
      </c>
      <c r="L124" s="41" t="s">
        <v>1002</v>
      </c>
      <c r="M124" s="41" t="s">
        <v>1003</v>
      </c>
      <c r="N124" s="41" t="s">
        <v>964</v>
      </c>
      <c r="O124" s="41" t="s">
        <v>1004</v>
      </c>
      <c r="P124" s="41" t="s">
        <v>1005</v>
      </c>
      <c r="Q124" s="41" t="s">
        <v>1006</v>
      </c>
      <c r="R124" s="41" t="s">
        <v>1007</v>
      </c>
      <c r="S124" s="41" t="s">
        <v>1008</v>
      </c>
      <c r="T124" s="41" t="s">
        <v>1009</v>
      </c>
      <c r="U124" s="41" t="s">
        <v>1010</v>
      </c>
      <c r="V124" s="41" t="s">
        <v>965</v>
      </c>
    </row>
    <row r="125" spans="1:22" x14ac:dyDescent="0.25">
      <c r="A125" s="41" t="s">
        <v>45</v>
      </c>
      <c r="B125" s="41" t="s">
        <v>1874</v>
      </c>
      <c r="F125" s="41" t="s">
        <v>1875</v>
      </c>
      <c r="H125" s="41" t="s">
        <v>374</v>
      </c>
      <c r="I125" s="41" t="s">
        <v>2097</v>
      </c>
      <c r="K125" s="41" t="s">
        <v>2099</v>
      </c>
      <c r="L125" s="41" t="s">
        <v>2101</v>
      </c>
      <c r="M125" s="41" t="s">
        <v>2103</v>
      </c>
      <c r="N125" s="41" t="s">
        <v>1876</v>
      </c>
      <c r="O125" s="41" t="s">
        <v>2105</v>
      </c>
      <c r="P125" s="41" t="s">
        <v>2107</v>
      </c>
      <c r="Q125" s="41" t="s">
        <v>2109</v>
      </c>
      <c r="R125" s="41" t="s">
        <v>2111</v>
      </c>
      <c r="S125" s="41" t="s">
        <v>2113</v>
      </c>
      <c r="T125" s="41" t="s">
        <v>2115</v>
      </c>
      <c r="U125" s="41" t="s">
        <v>2117</v>
      </c>
      <c r="V125" s="41" t="s">
        <v>1877</v>
      </c>
    </row>
    <row r="126" spans="1:22" x14ac:dyDescent="0.25">
      <c r="A126" s="41" t="s">
        <v>45</v>
      </c>
      <c r="B126" s="41" t="s">
        <v>1878</v>
      </c>
      <c r="F126" s="41" t="s">
        <v>1879</v>
      </c>
      <c r="H126" s="41" t="s">
        <v>375</v>
      </c>
      <c r="I126" s="41" t="s">
        <v>2098</v>
      </c>
      <c r="K126" s="41" t="s">
        <v>2100</v>
      </c>
      <c r="L126" s="41" t="s">
        <v>2102</v>
      </c>
      <c r="M126" s="41" t="s">
        <v>2104</v>
      </c>
      <c r="N126" s="41" t="s">
        <v>1880</v>
      </c>
      <c r="O126" s="41" t="s">
        <v>2106</v>
      </c>
      <c r="P126" s="41" t="s">
        <v>2108</v>
      </c>
      <c r="Q126" s="41" t="s">
        <v>2110</v>
      </c>
      <c r="R126" s="41" t="s">
        <v>2112</v>
      </c>
      <c r="S126" s="41" t="s">
        <v>2114</v>
      </c>
      <c r="T126" s="41" t="s">
        <v>2116</v>
      </c>
      <c r="U126" s="41" t="s">
        <v>2118</v>
      </c>
      <c r="V126" s="41" t="s">
        <v>1881</v>
      </c>
    </row>
    <row r="127" spans="1:22" x14ac:dyDescent="0.25">
      <c r="A127" s="41" t="s">
        <v>45</v>
      </c>
      <c r="B127" s="41" t="s">
        <v>1622</v>
      </c>
      <c r="F127" s="41" t="s">
        <v>1623</v>
      </c>
      <c r="H127" s="41" t="s">
        <v>376</v>
      </c>
      <c r="I127" s="41" t="s">
        <v>1716</v>
      </c>
      <c r="K127" s="41" t="s">
        <v>1717</v>
      </c>
      <c r="L127" s="41" t="s">
        <v>1718</v>
      </c>
      <c r="M127" s="41" t="s">
        <v>1719</v>
      </c>
      <c r="N127" s="41" t="s">
        <v>1624</v>
      </c>
      <c r="O127" s="41" t="s">
        <v>1720</v>
      </c>
      <c r="P127" s="41" t="s">
        <v>1721</v>
      </c>
      <c r="Q127" s="41" t="s">
        <v>1722</v>
      </c>
      <c r="R127" s="41" t="s">
        <v>1723</v>
      </c>
      <c r="S127" s="41" t="s">
        <v>1724</v>
      </c>
      <c r="T127" s="41" t="s">
        <v>1725</v>
      </c>
      <c r="U127" s="41" t="s">
        <v>1726</v>
      </c>
      <c r="V127" s="41" t="s">
        <v>1625</v>
      </c>
    </row>
    <row r="128" spans="1:22" x14ac:dyDescent="0.25">
      <c r="A128" s="41" t="s">
        <v>45</v>
      </c>
      <c r="B128" s="41" t="s">
        <v>2273</v>
      </c>
      <c r="F128" s="41" t="s">
        <v>2274</v>
      </c>
      <c r="H128" s="41" t="s">
        <v>377</v>
      </c>
      <c r="I128" s="41" t="s">
        <v>2587</v>
      </c>
      <c r="K128" s="41" t="s">
        <v>2589</v>
      </c>
      <c r="L128" s="41" t="s">
        <v>2591</v>
      </c>
      <c r="M128" s="41" t="s">
        <v>2593</v>
      </c>
      <c r="N128" s="41" t="s">
        <v>2275</v>
      </c>
      <c r="O128" s="41" t="s">
        <v>2595</v>
      </c>
      <c r="P128" s="41" t="s">
        <v>2597</v>
      </c>
      <c r="Q128" s="41" t="s">
        <v>2599</v>
      </c>
      <c r="R128" s="41" t="s">
        <v>2601</v>
      </c>
      <c r="S128" s="41" t="s">
        <v>2603</v>
      </c>
      <c r="T128" s="41" t="s">
        <v>2605</v>
      </c>
      <c r="U128" s="41" t="s">
        <v>2607</v>
      </c>
      <c r="V128" s="41" t="s">
        <v>2276</v>
      </c>
    </row>
    <row r="129" spans="1:22" x14ac:dyDescent="0.25">
      <c r="A129" s="41" t="s">
        <v>45</v>
      </c>
      <c r="B129" s="41" t="s">
        <v>2277</v>
      </c>
      <c r="F129" s="41" t="s">
        <v>2278</v>
      </c>
      <c r="H129" s="41" t="s">
        <v>1057</v>
      </c>
      <c r="I129" s="41" t="s">
        <v>2588</v>
      </c>
      <c r="K129" s="41" t="s">
        <v>2590</v>
      </c>
      <c r="L129" s="41" t="s">
        <v>2592</v>
      </c>
      <c r="M129" s="41" t="s">
        <v>2594</v>
      </c>
      <c r="N129" s="41" t="s">
        <v>2279</v>
      </c>
      <c r="O129" s="41" t="s">
        <v>2596</v>
      </c>
      <c r="P129" s="41" t="s">
        <v>2598</v>
      </c>
      <c r="Q129" s="41" t="s">
        <v>2600</v>
      </c>
      <c r="R129" s="41" t="s">
        <v>2602</v>
      </c>
      <c r="S129" s="41" t="s">
        <v>2604</v>
      </c>
      <c r="T129" s="41" t="s">
        <v>2606</v>
      </c>
      <c r="U129" s="41" t="s">
        <v>2608</v>
      </c>
      <c r="V129" s="41" t="s">
        <v>2280</v>
      </c>
    </row>
    <row r="130" spans="1:22" x14ac:dyDescent="0.25">
      <c r="A130" s="41" t="s">
        <v>45</v>
      </c>
    </row>
    <row r="131" spans="1:22" x14ac:dyDescent="0.25">
      <c r="A131" s="41" t="s">
        <v>45</v>
      </c>
      <c r="F131" s="41" t="s">
        <v>2281</v>
      </c>
      <c r="G131" s="41" t="s">
        <v>55</v>
      </c>
      <c r="J131" s="41" t="s">
        <v>2282</v>
      </c>
    </row>
    <row r="132" spans="1:22" x14ac:dyDescent="0.25">
      <c r="A132" s="41" t="s">
        <v>45</v>
      </c>
      <c r="B132" s="41" t="s">
        <v>1407</v>
      </c>
      <c r="F132" s="41" t="s">
        <v>1408</v>
      </c>
      <c r="H132" s="41" t="s">
        <v>2283</v>
      </c>
      <c r="I132" s="41" t="s">
        <v>1442</v>
      </c>
      <c r="K132" s="41" t="s">
        <v>1443</v>
      </c>
      <c r="L132" s="41" t="s">
        <v>1444</v>
      </c>
      <c r="M132" s="41" t="s">
        <v>1445</v>
      </c>
      <c r="N132" s="41" t="s">
        <v>1409</v>
      </c>
      <c r="O132" s="41" t="s">
        <v>1446</v>
      </c>
      <c r="P132" s="41" t="s">
        <v>1447</v>
      </c>
      <c r="Q132" s="41" t="s">
        <v>1448</v>
      </c>
      <c r="R132" s="41" t="s">
        <v>1449</v>
      </c>
      <c r="S132" s="41" t="s">
        <v>1450</v>
      </c>
      <c r="T132" s="41" t="s">
        <v>1451</v>
      </c>
      <c r="U132" s="41" t="s">
        <v>1452</v>
      </c>
      <c r="V132" s="41" t="s">
        <v>1410</v>
      </c>
    </row>
    <row r="133" spans="1:22" x14ac:dyDescent="0.25">
      <c r="A133" s="41" t="s">
        <v>45</v>
      </c>
      <c r="B133" s="41" t="s">
        <v>1882</v>
      </c>
      <c r="F133" s="41" t="s">
        <v>1883</v>
      </c>
      <c r="H133" s="41" t="s">
        <v>601</v>
      </c>
      <c r="I133" s="41" t="s">
        <v>2075</v>
      </c>
      <c r="K133" s="41" t="s">
        <v>2077</v>
      </c>
      <c r="L133" s="41" t="s">
        <v>2079</v>
      </c>
      <c r="M133" s="41" t="s">
        <v>2081</v>
      </c>
      <c r="N133" s="41" t="s">
        <v>1884</v>
      </c>
      <c r="O133" s="41" t="s">
        <v>2083</v>
      </c>
      <c r="P133" s="41" t="s">
        <v>2085</v>
      </c>
      <c r="Q133" s="41" t="s">
        <v>2087</v>
      </c>
      <c r="R133" s="41" t="s">
        <v>2089</v>
      </c>
      <c r="S133" s="41" t="s">
        <v>2091</v>
      </c>
      <c r="T133" s="41" t="s">
        <v>2093</v>
      </c>
      <c r="U133" s="41" t="s">
        <v>2095</v>
      </c>
      <c r="V133" s="41" t="s">
        <v>1885</v>
      </c>
    </row>
    <row r="134" spans="1:22" x14ac:dyDescent="0.25">
      <c r="A134" s="41" t="s">
        <v>45</v>
      </c>
      <c r="B134" s="41" t="s">
        <v>1886</v>
      </c>
      <c r="F134" s="41" t="s">
        <v>1887</v>
      </c>
      <c r="H134" s="41" t="s">
        <v>170</v>
      </c>
      <c r="I134" s="41" t="s">
        <v>2076</v>
      </c>
      <c r="K134" s="41" t="s">
        <v>2078</v>
      </c>
      <c r="L134" s="41" t="s">
        <v>2080</v>
      </c>
      <c r="M134" s="41" t="s">
        <v>2082</v>
      </c>
      <c r="N134" s="41" t="s">
        <v>1888</v>
      </c>
      <c r="O134" s="41" t="s">
        <v>2084</v>
      </c>
      <c r="P134" s="41" t="s">
        <v>2086</v>
      </c>
      <c r="Q134" s="41" t="s">
        <v>2088</v>
      </c>
      <c r="R134" s="41" t="s">
        <v>2090</v>
      </c>
      <c r="S134" s="41" t="s">
        <v>2092</v>
      </c>
      <c r="T134" s="41" t="s">
        <v>2094</v>
      </c>
      <c r="U134" s="41" t="s">
        <v>2096</v>
      </c>
      <c r="V134" s="41" t="s">
        <v>1889</v>
      </c>
    </row>
    <row r="135" spans="1:22" x14ac:dyDescent="0.25">
      <c r="A135" s="41" t="s">
        <v>45</v>
      </c>
      <c r="B135" s="41" t="s">
        <v>1626</v>
      </c>
      <c r="F135" s="41" t="s">
        <v>1627</v>
      </c>
      <c r="H135" s="41" t="s">
        <v>617</v>
      </c>
      <c r="I135" s="41" t="s">
        <v>1628</v>
      </c>
      <c r="K135" s="41" t="s">
        <v>1629</v>
      </c>
      <c r="L135" s="41" t="s">
        <v>1630</v>
      </c>
      <c r="M135" s="41" t="s">
        <v>1631</v>
      </c>
      <c r="N135" s="41" t="s">
        <v>1632</v>
      </c>
      <c r="O135" s="41" t="s">
        <v>1633</v>
      </c>
      <c r="P135" s="41" t="s">
        <v>1634</v>
      </c>
      <c r="Q135" s="41" t="s">
        <v>1635</v>
      </c>
      <c r="R135" s="41" t="s">
        <v>1636</v>
      </c>
      <c r="S135" s="41" t="s">
        <v>1637</v>
      </c>
      <c r="T135" s="41" t="s">
        <v>1638</v>
      </c>
      <c r="U135" s="41" t="s">
        <v>1639</v>
      </c>
      <c r="V135" s="41" t="s">
        <v>1640</v>
      </c>
    </row>
    <row r="136" spans="1:22" x14ac:dyDescent="0.25">
      <c r="A136" s="41" t="s">
        <v>45</v>
      </c>
    </row>
    <row r="137" spans="1:22" x14ac:dyDescent="0.25">
      <c r="A137" s="41" t="s">
        <v>45</v>
      </c>
      <c r="F137" s="41" t="s">
        <v>1890</v>
      </c>
      <c r="G137" s="41" t="s">
        <v>56</v>
      </c>
      <c r="J137" s="41" t="s">
        <v>1891</v>
      </c>
    </row>
    <row r="138" spans="1:22" x14ac:dyDescent="0.25">
      <c r="A138" s="41" t="s">
        <v>45</v>
      </c>
      <c r="B138" s="41" t="s">
        <v>1892</v>
      </c>
      <c r="F138" s="41" t="s">
        <v>1893</v>
      </c>
      <c r="H138" s="41" t="s">
        <v>1894</v>
      </c>
      <c r="I138" s="41" t="s">
        <v>1895</v>
      </c>
      <c r="K138" s="41" t="s">
        <v>1896</v>
      </c>
      <c r="L138" s="41" t="s">
        <v>1897</v>
      </c>
      <c r="M138" s="41" t="s">
        <v>1898</v>
      </c>
      <c r="N138" s="41" t="s">
        <v>1899</v>
      </c>
      <c r="O138" s="41" t="s">
        <v>1900</v>
      </c>
      <c r="P138" s="41" t="s">
        <v>1901</v>
      </c>
      <c r="Q138" s="41" t="s">
        <v>1902</v>
      </c>
      <c r="R138" s="41" t="s">
        <v>1903</v>
      </c>
      <c r="S138" s="41" t="s">
        <v>1904</v>
      </c>
      <c r="T138" s="41" t="s">
        <v>1905</v>
      </c>
      <c r="U138" s="41" t="s">
        <v>1906</v>
      </c>
      <c r="V138" s="41" t="s">
        <v>1907</v>
      </c>
    </row>
    <row r="139" spans="1:22" x14ac:dyDescent="0.25">
      <c r="A139" s="41" t="s">
        <v>45</v>
      </c>
      <c r="B139" s="41" t="s">
        <v>1641</v>
      </c>
      <c r="F139" s="41" t="s">
        <v>1642</v>
      </c>
      <c r="H139" s="41" t="s">
        <v>378</v>
      </c>
      <c r="I139" s="41" t="s">
        <v>1705</v>
      </c>
      <c r="K139" s="41" t="s">
        <v>1706</v>
      </c>
      <c r="L139" s="41" t="s">
        <v>1707</v>
      </c>
      <c r="M139" s="41" t="s">
        <v>1708</v>
      </c>
      <c r="N139" s="41" t="s">
        <v>1643</v>
      </c>
      <c r="O139" s="41" t="s">
        <v>1709</v>
      </c>
      <c r="P139" s="41" t="s">
        <v>1710</v>
      </c>
      <c r="Q139" s="41" t="s">
        <v>1711</v>
      </c>
      <c r="R139" s="41" t="s">
        <v>1712</v>
      </c>
      <c r="S139" s="41" t="s">
        <v>1713</v>
      </c>
      <c r="T139" s="41" t="s">
        <v>1714</v>
      </c>
      <c r="U139" s="41" t="s">
        <v>1715</v>
      </c>
      <c r="V139" s="41" t="s">
        <v>1644</v>
      </c>
    </row>
    <row r="140" spans="1:22" x14ac:dyDescent="0.25">
      <c r="A140" s="41" t="s">
        <v>45</v>
      </c>
      <c r="B140" s="41" t="s">
        <v>2284</v>
      </c>
      <c r="F140" s="41" t="s">
        <v>2285</v>
      </c>
      <c r="H140" s="41" t="s">
        <v>570</v>
      </c>
      <c r="I140" s="41" t="s">
        <v>2565</v>
      </c>
      <c r="K140" s="41" t="s">
        <v>2567</v>
      </c>
      <c r="L140" s="41" t="s">
        <v>2569</v>
      </c>
      <c r="M140" s="41" t="s">
        <v>2571</v>
      </c>
      <c r="N140" s="41" t="s">
        <v>2286</v>
      </c>
      <c r="O140" s="41" t="s">
        <v>2573</v>
      </c>
      <c r="P140" s="41" t="s">
        <v>2575</v>
      </c>
      <c r="Q140" s="41" t="s">
        <v>2577</v>
      </c>
      <c r="R140" s="41" t="s">
        <v>2579</v>
      </c>
      <c r="S140" s="41" t="s">
        <v>2581</v>
      </c>
      <c r="T140" s="41" t="s">
        <v>2583</v>
      </c>
      <c r="U140" s="41" t="s">
        <v>2585</v>
      </c>
      <c r="V140" s="41" t="s">
        <v>2287</v>
      </c>
    </row>
    <row r="141" spans="1:22" x14ac:dyDescent="0.25">
      <c r="A141" s="41" t="s">
        <v>45</v>
      </c>
      <c r="B141" s="41" t="s">
        <v>2288</v>
      </c>
      <c r="F141" s="41" t="s">
        <v>2289</v>
      </c>
      <c r="H141" s="41" t="s">
        <v>379</v>
      </c>
      <c r="I141" s="41" t="s">
        <v>2566</v>
      </c>
      <c r="K141" s="41" t="s">
        <v>2568</v>
      </c>
      <c r="L141" s="41" t="s">
        <v>2570</v>
      </c>
      <c r="M141" s="41" t="s">
        <v>2572</v>
      </c>
      <c r="N141" s="41" t="s">
        <v>2290</v>
      </c>
      <c r="O141" s="41" t="s">
        <v>2574</v>
      </c>
      <c r="P141" s="41" t="s">
        <v>2576</v>
      </c>
      <c r="Q141" s="41" t="s">
        <v>2578</v>
      </c>
      <c r="R141" s="41" t="s">
        <v>2580</v>
      </c>
      <c r="S141" s="41" t="s">
        <v>2582</v>
      </c>
      <c r="T141" s="41" t="s">
        <v>2584</v>
      </c>
      <c r="U141" s="41" t="s">
        <v>2586</v>
      </c>
      <c r="V141" s="41" t="s">
        <v>2291</v>
      </c>
    </row>
    <row r="142" spans="1:22" x14ac:dyDescent="0.25">
      <c r="A142" s="41" t="s">
        <v>45</v>
      </c>
    </row>
    <row r="143" spans="1:22" x14ac:dyDescent="0.25">
      <c r="A143" s="41" t="s">
        <v>45</v>
      </c>
      <c r="F143" s="41" t="s">
        <v>2292</v>
      </c>
      <c r="G143" s="41" t="s">
        <v>900</v>
      </c>
      <c r="J143" s="41" t="s">
        <v>2293</v>
      </c>
    </row>
    <row r="144" spans="1:22" x14ac:dyDescent="0.25">
      <c r="A144" s="41" t="s">
        <v>45</v>
      </c>
      <c r="B144" s="41" t="s">
        <v>1498</v>
      </c>
      <c r="F144" s="41" t="s">
        <v>1499</v>
      </c>
      <c r="H144" s="41" t="s">
        <v>2294</v>
      </c>
      <c r="I144" s="41" t="s">
        <v>1547</v>
      </c>
      <c r="K144" s="41" t="s">
        <v>1548</v>
      </c>
      <c r="L144" s="41" t="s">
        <v>1549</v>
      </c>
      <c r="M144" s="41" t="s">
        <v>1550</v>
      </c>
      <c r="N144" s="41" t="s">
        <v>1500</v>
      </c>
      <c r="O144" s="41" t="s">
        <v>1551</v>
      </c>
      <c r="P144" s="41" t="s">
        <v>1552</v>
      </c>
      <c r="Q144" s="41" t="s">
        <v>1553</v>
      </c>
      <c r="R144" s="41" t="s">
        <v>1554</v>
      </c>
      <c r="S144" s="41" t="s">
        <v>1555</v>
      </c>
      <c r="T144" s="41" t="s">
        <v>1556</v>
      </c>
      <c r="U144" s="41" t="s">
        <v>1557</v>
      </c>
      <c r="V144" s="41" t="s">
        <v>1501</v>
      </c>
    </row>
    <row r="145" spans="1:22" x14ac:dyDescent="0.25">
      <c r="A145" s="41" t="s">
        <v>45</v>
      </c>
    </row>
    <row r="146" spans="1:22" x14ac:dyDescent="0.25">
      <c r="A146" s="41" t="s">
        <v>45</v>
      </c>
      <c r="F146" s="41" t="s">
        <v>2295</v>
      </c>
      <c r="G146" s="41" t="s">
        <v>57</v>
      </c>
      <c r="J146" s="41" t="s">
        <v>2296</v>
      </c>
    </row>
    <row r="147" spans="1:22" x14ac:dyDescent="0.25">
      <c r="A147" s="41" t="s">
        <v>45</v>
      </c>
      <c r="B147" s="41" t="s">
        <v>1058</v>
      </c>
      <c r="F147" s="41" t="s">
        <v>1059</v>
      </c>
      <c r="H147" s="41" t="s">
        <v>2297</v>
      </c>
      <c r="I147" s="41" t="s">
        <v>1125</v>
      </c>
      <c r="K147" s="41" t="s">
        <v>1126</v>
      </c>
      <c r="L147" s="41" t="s">
        <v>1127</v>
      </c>
      <c r="M147" s="41" t="s">
        <v>1128</v>
      </c>
      <c r="N147" s="41" t="s">
        <v>1060</v>
      </c>
      <c r="O147" s="41" t="s">
        <v>1129</v>
      </c>
      <c r="P147" s="41" t="s">
        <v>1130</v>
      </c>
      <c r="Q147" s="41" t="s">
        <v>1131</v>
      </c>
      <c r="R147" s="41" t="s">
        <v>1132</v>
      </c>
      <c r="S147" s="41" t="s">
        <v>1133</v>
      </c>
      <c r="T147" s="41" t="s">
        <v>1134</v>
      </c>
      <c r="U147" s="41" t="s">
        <v>1135</v>
      </c>
      <c r="V147" s="41" t="s">
        <v>1061</v>
      </c>
    </row>
    <row r="148" spans="1:22" x14ac:dyDescent="0.25">
      <c r="A148" s="41" t="s">
        <v>45</v>
      </c>
      <c r="B148" s="41" t="s">
        <v>1908</v>
      </c>
      <c r="F148" s="41" t="s">
        <v>1909</v>
      </c>
      <c r="H148" s="41" t="s">
        <v>602</v>
      </c>
      <c r="I148" s="41" t="s">
        <v>2064</v>
      </c>
      <c r="K148" s="41" t="s">
        <v>2065</v>
      </c>
      <c r="L148" s="41" t="s">
        <v>2066</v>
      </c>
      <c r="M148" s="41" t="s">
        <v>2067</v>
      </c>
      <c r="N148" s="41" t="s">
        <v>1910</v>
      </c>
      <c r="O148" s="41" t="s">
        <v>2068</v>
      </c>
      <c r="P148" s="41" t="s">
        <v>2069</v>
      </c>
      <c r="Q148" s="41" t="s">
        <v>2070</v>
      </c>
      <c r="R148" s="41" t="s">
        <v>2071</v>
      </c>
      <c r="S148" s="41" t="s">
        <v>2072</v>
      </c>
      <c r="T148" s="41" t="s">
        <v>2073</v>
      </c>
      <c r="U148" s="41" t="s">
        <v>2074</v>
      </c>
      <c r="V148" s="41" t="s">
        <v>1911</v>
      </c>
    </row>
    <row r="149" spans="1:22" x14ac:dyDescent="0.25">
      <c r="A149" s="41" t="s">
        <v>45</v>
      </c>
    </row>
    <row r="150" spans="1:22" x14ac:dyDescent="0.25">
      <c r="A150" s="41" t="s">
        <v>45</v>
      </c>
      <c r="F150" s="41" t="s">
        <v>2298</v>
      </c>
      <c r="G150" s="41" t="s">
        <v>58</v>
      </c>
      <c r="J150" s="41" t="s">
        <v>2299</v>
      </c>
    </row>
    <row r="151" spans="1:22" x14ac:dyDescent="0.25">
      <c r="A151" s="41" t="s">
        <v>45</v>
      </c>
      <c r="B151" s="41" t="s">
        <v>2300</v>
      </c>
      <c r="F151" s="41" t="s">
        <v>2301</v>
      </c>
      <c r="H151" s="41" t="s">
        <v>2302</v>
      </c>
      <c r="I151" s="41" t="s">
        <v>2554</v>
      </c>
      <c r="K151" s="41" t="s">
        <v>2555</v>
      </c>
      <c r="L151" s="41" t="s">
        <v>2556</v>
      </c>
      <c r="M151" s="41" t="s">
        <v>2557</v>
      </c>
      <c r="N151" s="41" t="s">
        <v>2303</v>
      </c>
      <c r="O151" s="41" t="s">
        <v>2558</v>
      </c>
      <c r="P151" s="41" t="s">
        <v>2559</v>
      </c>
      <c r="Q151" s="41" t="s">
        <v>2560</v>
      </c>
      <c r="R151" s="41" t="s">
        <v>2561</v>
      </c>
      <c r="S151" s="41" t="s">
        <v>2562</v>
      </c>
      <c r="T151" s="41" t="s">
        <v>2563</v>
      </c>
      <c r="U151" s="41" t="s">
        <v>2564</v>
      </c>
      <c r="V151" s="41" t="s">
        <v>2304</v>
      </c>
    </row>
    <row r="152" spans="1:22" x14ac:dyDescent="0.25">
      <c r="A152" s="41" t="s">
        <v>45</v>
      </c>
      <c r="B152" s="41" t="s">
        <v>745</v>
      </c>
      <c r="F152" s="41" t="s">
        <v>746</v>
      </c>
      <c r="H152" s="41" t="s">
        <v>171</v>
      </c>
      <c r="I152" s="41" t="s">
        <v>747</v>
      </c>
      <c r="K152" s="41" t="s">
        <v>748</v>
      </c>
      <c r="L152" s="41" t="s">
        <v>749</v>
      </c>
      <c r="M152" s="41" t="s">
        <v>750</v>
      </c>
      <c r="N152" s="41" t="s">
        <v>751</v>
      </c>
      <c r="O152" s="41" t="s">
        <v>752</v>
      </c>
      <c r="P152" s="41" t="s">
        <v>753</v>
      </c>
      <c r="Q152" s="41" t="s">
        <v>754</v>
      </c>
      <c r="R152" s="41" t="s">
        <v>755</v>
      </c>
      <c r="S152" s="41" t="s">
        <v>756</v>
      </c>
      <c r="T152" s="41" t="s">
        <v>757</v>
      </c>
      <c r="U152" s="41" t="s">
        <v>758</v>
      </c>
      <c r="V152" s="41" t="s">
        <v>759</v>
      </c>
    </row>
    <row r="153" spans="1:22" x14ac:dyDescent="0.25">
      <c r="A153" s="41" t="s">
        <v>45</v>
      </c>
      <c r="B153" s="41" t="s">
        <v>896</v>
      </c>
      <c r="F153" s="41" t="s">
        <v>897</v>
      </c>
      <c r="H153" s="41" t="s">
        <v>172</v>
      </c>
      <c r="I153" s="41" t="s">
        <v>919</v>
      </c>
      <c r="K153" s="41" t="s">
        <v>920</v>
      </c>
      <c r="L153" s="41" t="s">
        <v>921</v>
      </c>
      <c r="M153" s="41" t="s">
        <v>922</v>
      </c>
      <c r="N153" s="41" t="s">
        <v>898</v>
      </c>
      <c r="O153" s="41" t="s">
        <v>923</v>
      </c>
      <c r="P153" s="41" t="s">
        <v>924</v>
      </c>
      <c r="Q153" s="41" t="s">
        <v>925</v>
      </c>
      <c r="R153" s="41" t="s">
        <v>926</v>
      </c>
      <c r="S153" s="41" t="s">
        <v>927</v>
      </c>
      <c r="T153" s="41" t="s">
        <v>928</v>
      </c>
      <c r="U153" s="41" t="s">
        <v>929</v>
      </c>
      <c r="V153" s="41" t="s">
        <v>899</v>
      </c>
    </row>
    <row r="154" spans="1:22" x14ac:dyDescent="0.25">
      <c r="A154" s="41" t="s">
        <v>45</v>
      </c>
    </row>
    <row r="155" spans="1:22" x14ac:dyDescent="0.25">
      <c r="A155" s="41" t="s">
        <v>45</v>
      </c>
      <c r="F155" s="41" t="s">
        <v>2305</v>
      </c>
      <c r="G155" s="41" t="s">
        <v>966</v>
      </c>
      <c r="J155" s="41" t="s">
        <v>2306</v>
      </c>
    </row>
    <row r="156" spans="1:22" x14ac:dyDescent="0.25">
      <c r="A156" s="41" t="s">
        <v>45</v>
      </c>
      <c r="B156" s="41" t="s">
        <v>2307</v>
      </c>
      <c r="F156" s="41" t="s">
        <v>2308</v>
      </c>
      <c r="H156" s="41" t="s">
        <v>2309</v>
      </c>
      <c r="I156" s="41" t="s">
        <v>2310</v>
      </c>
      <c r="K156" s="41" t="s">
        <v>2311</v>
      </c>
      <c r="L156" s="41" t="s">
        <v>2312</v>
      </c>
      <c r="M156" s="41" t="s">
        <v>2313</v>
      </c>
      <c r="N156" s="41" t="s">
        <v>2314</v>
      </c>
      <c r="O156" s="41" t="s">
        <v>2315</v>
      </c>
      <c r="P156" s="41" t="s">
        <v>2316</v>
      </c>
      <c r="Q156" s="41" t="s">
        <v>2317</v>
      </c>
      <c r="R156" s="41" t="s">
        <v>2318</v>
      </c>
      <c r="S156" s="41" t="s">
        <v>2319</v>
      </c>
      <c r="T156" s="41" t="s">
        <v>2320</v>
      </c>
      <c r="U156" s="41" t="s">
        <v>2321</v>
      </c>
      <c r="V156" s="41" t="s">
        <v>2322</v>
      </c>
    </row>
    <row r="157" spans="1:22" x14ac:dyDescent="0.25">
      <c r="A157" s="41" t="s">
        <v>45</v>
      </c>
    </row>
    <row r="158" spans="1:22" x14ac:dyDescent="0.25">
      <c r="A158" s="41" t="s">
        <v>45</v>
      </c>
      <c r="F158" s="41" t="s">
        <v>2323</v>
      </c>
      <c r="G158" s="41" t="s">
        <v>59</v>
      </c>
      <c r="J158" s="41" t="s">
        <v>2324</v>
      </c>
    </row>
    <row r="159" spans="1:22" x14ac:dyDescent="0.25">
      <c r="A159" s="41" t="s">
        <v>45</v>
      </c>
      <c r="B159" s="41" t="s">
        <v>2325</v>
      </c>
      <c r="F159" s="41" t="s">
        <v>2326</v>
      </c>
      <c r="H159" s="41" t="s">
        <v>2327</v>
      </c>
      <c r="I159" s="41" t="s">
        <v>2532</v>
      </c>
      <c r="K159" s="41" t="s">
        <v>2534</v>
      </c>
      <c r="L159" s="41" t="s">
        <v>2536</v>
      </c>
      <c r="M159" s="41" t="s">
        <v>2538</v>
      </c>
      <c r="N159" s="41" t="s">
        <v>2328</v>
      </c>
      <c r="O159" s="41" t="s">
        <v>2540</v>
      </c>
      <c r="P159" s="41" t="s">
        <v>2542</v>
      </c>
      <c r="Q159" s="41" t="s">
        <v>2544</v>
      </c>
      <c r="R159" s="41" t="s">
        <v>2546</v>
      </c>
      <c r="S159" s="41" t="s">
        <v>2548</v>
      </c>
      <c r="T159" s="41" t="s">
        <v>2550</v>
      </c>
      <c r="U159" s="41" t="s">
        <v>2552</v>
      </c>
      <c r="V159" s="41" t="s">
        <v>2329</v>
      </c>
    </row>
    <row r="160" spans="1:22" x14ac:dyDescent="0.25">
      <c r="A160" s="41" t="s">
        <v>45</v>
      </c>
      <c r="B160" s="41" t="s">
        <v>2330</v>
      </c>
      <c r="F160" s="41" t="s">
        <v>2331</v>
      </c>
      <c r="H160" s="41" t="s">
        <v>1411</v>
      </c>
      <c r="I160" s="41" t="s">
        <v>2533</v>
      </c>
      <c r="K160" s="41" t="s">
        <v>2535</v>
      </c>
      <c r="L160" s="41" t="s">
        <v>2537</v>
      </c>
      <c r="M160" s="41" t="s">
        <v>2539</v>
      </c>
      <c r="N160" s="41" t="s">
        <v>2332</v>
      </c>
      <c r="O160" s="41" t="s">
        <v>2541</v>
      </c>
      <c r="P160" s="41" t="s">
        <v>2543</v>
      </c>
      <c r="Q160" s="41" t="s">
        <v>2545</v>
      </c>
      <c r="R160" s="41" t="s">
        <v>2547</v>
      </c>
      <c r="S160" s="41" t="s">
        <v>2549</v>
      </c>
      <c r="T160" s="41" t="s">
        <v>2551</v>
      </c>
      <c r="U160" s="41" t="s">
        <v>2553</v>
      </c>
      <c r="V160" s="41" t="s">
        <v>2333</v>
      </c>
    </row>
    <row r="161" spans="1:22" x14ac:dyDescent="0.25">
      <c r="A161" s="41" t="s">
        <v>45</v>
      </c>
      <c r="B161" s="41" t="s">
        <v>1912</v>
      </c>
      <c r="F161" s="41" t="s">
        <v>1913</v>
      </c>
      <c r="H161" s="41" t="s">
        <v>967</v>
      </c>
      <c r="I161" s="41" t="s">
        <v>1914</v>
      </c>
      <c r="K161" s="41" t="s">
        <v>1915</v>
      </c>
      <c r="L161" s="41" t="s">
        <v>1916</v>
      </c>
      <c r="M161" s="41" t="s">
        <v>1917</v>
      </c>
      <c r="N161" s="41" t="s">
        <v>1918</v>
      </c>
      <c r="O161" s="41" t="s">
        <v>1919</v>
      </c>
      <c r="P161" s="41" t="s">
        <v>1920</v>
      </c>
      <c r="Q161" s="41" t="s">
        <v>1921</v>
      </c>
      <c r="R161" s="41" t="s">
        <v>1922</v>
      </c>
      <c r="S161" s="41" t="s">
        <v>1923</v>
      </c>
      <c r="T161" s="41" t="s">
        <v>1924</v>
      </c>
      <c r="U161" s="41" t="s">
        <v>1925</v>
      </c>
      <c r="V161" s="41" t="s">
        <v>1926</v>
      </c>
    </row>
    <row r="162" spans="1:22" x14ac:dyDescent="0.25">
      <c r="A162" s="41" t="s">
        <v>45</v>
      </c>
    </row>
    <row r="163" spans="1:22" x14ac:dyDescent="0.25">
      <c r="A163" s="41" t="s">
        <v>45</v>
      </c>
      <c r="F163" s="41" t="s">
        <v>2334</v>
      </c>
      <c r="G163" s="41" t="s">
        <v>60</v>
      </c>
      <c r="J163" s="41" t="s">
        <v>2335</v>
      </c>
    </row>
    <row r="164" spans="1:22" x14ac:dyDescent="0.25">
      <c r="A164" s="41" t="s">
        <v>45</v>
      </c>
      <c r="B164" s="41" t="s">
        <v>2336</v>
      </c>
      <c r="F164" s="41" t="s">
        <v>2337</v>
      </c>
      <c r="H164" s="41" t="s">
        <v>2338</v>
      </c>
      <c r="I164" s="41" t="s">
        <v>2339</v>
      </c>
      <c r="K164" s="41" t="s">
        <v>2340</v>
      </c>
      <c r="L164" s="41" t="s">
        <v>2341</v>
      </c>
      <c r="M164" s="41" t="s">
        <v>2342</v>
      </c>
      <c r="N164" s="41" t="s">
        <v>2343</v>
      </c>
      <c r="O164" s="41" t="s">
        <v>2344</v>
      </c>
      <c r="P164" s="41" t="s">
        <v>2345</v>
      </c>
      <c r="Q164" s="41" t="s">
        <v>2346</v>
      </c>
      <c r="R164" s="41" t="s">
        <v>2347</v>
      </c>
      <c r="S164" s="41" t="s">
        <v>2348</v>
      </c>
      <c r="T164" s="41" t="s">
        <v>2349</v>
      </c>
      <c r="U164" s="41" t="s">
        <v>2350</v>
      </c>
      <c r="V164" s="41" t="s">
        <v>2351</v>
      </c>
    </row>
    <row r="165" spans="1:22" x14ac:dyDescent="0.25">
      <c r="A165" s="41" t="s">
        <v>45</v>
      </c>
      <c r="B165" s="41" t="s">
        <v>1502</v>
      </c>
      <c r="F165" s="41" t="s">
        <v>1503</v>
      </c>
      <c r="H165" s="41" t="s">
        <v>173</v>
      </c>
      <c r="I165" s="41" t="s">
        <v>1536</v>
      </c>
      <c r="K165" s="41" t="s">
        <v>1537</v>
      </c>
      <c r="L165" s="41" t="s">
        <v>1538</v>
      </c>
      <c r="M165" s="41" t="s">
        <v>1539</v>
      </c>
      <c r="N165" s="41" t="s">
        <v>1504</v>
      </c>
      <c r="O165" s="41" t="s">
        <v>1540</v>
      </c>
      <c r="P165" s="41" t="s">
        <v>1541</v>
      </c>
      <c r="Q165" s="41" t="s">
        <v>1542</v>
      </c>
      <c r="R165" s="41" t="s">
        <v>1543</v>
      </c>
      <c r="S165" s="41" t="s">
        <v>1544</v>
      </c>
      <c r="T165" s="41" t="s">
        <v>1545</v>
      </c>
      <c r="U165" s="41" t="s">
        <v>1546</v>
      </c>
      <c r="V165" s="41" t="s">
        <v>1505</v>
      </c>
    </row>
    <row r="166" spans="1:22" x14ac:dyDescent="0.25">
      <c r="A166" s="41" t="s">
        <v>45</v>
      </c>
    </row>
    <row r="167" spans="1:22" x14ac:dyDescent="0.25">
      <c r="A167" s="41" t="s">
        <v>45</v>
      </c>
      <c r="F167" s="41" t="s">
        <v>2352</v>
      </c>
      <c r="G167" s="41" t="s">
        <v>61</v>
      </c>
      <c r="J167" s="41" t="s">
        <v>2353</v>
      </c>
    </row>
    <row r="168" spans="1:22" x14ac:dyDescent="0.25">
      <c r="A168" s="41" t="s">
        <v>45</v>
      </c>
      <c r="B168" s="41" t="s">
        <v>2354</v>
      </c>
      <c r="F168" s="41" t="s">
        <v>2355</v>
      </c>
      <c r="H168" s="41" t="s">
        <v>2356</v>
      </c>
      <c r="I168" s="41" t="s">
        <v>2466</v>
      </c>
      <c r="K168" s="41" t="s">
        <v>2472</v>
      </c>
      <c r="L168" s="41" t="s">
        <v>2478</v>
      </c>
      <c r="M168" s="41" t="s">
        <v>2484</v>
      </c>
      <c r="N168" s="41" t="s">
        <v>2357</v>
      </c>
      <c r="O168" s="41" t="s">
        <v>2490</v>
      </c>
      <c r="P168" s="41" t="s">
        <v>2496</v>
      </c>
      <c r="Q168" s="41" t="s">
        <v>2502</v>
      </c>
      <c r="R168" s="41" t="s">
        <v>2508</v>
      </c>
      <c r="S168" s="41" t="s">
        <v>2514</v>
      </c>
      <c r="T168" s="41" t="s">
        <v>2520</v>
      </c>
      <c r="U168" s="41" t="s">
        <v>2526</v>
      </c>
      <c r="V168" s="41" t="s">
        <v>2358</v>
      </c>
    </row>
    <row r="169" spans="1:22" x14ac:dyDescent="0.25">
      <c r="A169" s="41" t="s">
        <v>45</v>
      </c>
      <c r="B169" s="41" t="s">
        <v>2359</v>
      </c>
      <c r="F169" s="41" t="s">
        <v>2360</v>
      </c>
      <c r="H169" s="41" t="s">
        <v>1954</v>
      </c>
      <c r="I169" s="41" t="s">
        <v>2467</v>
      </c>
      <c r="K169" s="41" t="s">
        <v>2473</v>
      </c>
      <c r="L169" s="41" t="s">
        <v>2479</v>
      </c>
      <c r="M169" s="41" t="s">
        <v>2485</v>
      </c>
      <c r="N169" s="41" t="s">
        <v>2361</v>
      </c>
      <c r="O169" s="41" t="s">
        <v>2491</v>
      </c>
      <c r="P169" s="41" t="s">
        <v>2497</v>
      </c>
      <c r="Q169" s="41" t="s">
        <v>2503</v>
      </c>
      <c r="R169" s="41" t="s">
        <v>2509</v>
      </c>
      <c r="S169" s="41" t="s">
        <v>2515</v>
      </c>
      <c r="T169" s="41" t="s">
        <v>2521</v>
      </c>
      <c r="U169" s="41" t="s">
        <v>2527</v>
      </c>
      <c r="V169" s="41" t="s">
        <v>2362</v>
      </c>
    </row>
    <row r="170" spans="1:22" x14ac:dyDescent="0.25">
      <c r="A170" s="41" t="s">
        <v>45</v>
      </c>
      <c r="B170" s="41" t="s">
        <v>1927</v>
      </c>
      <c r="F170" s="41" t="s">
        <v>1928</v>
      </c>
      <c r="H170" s="41" t="s">
        <v>1955</v>
      </c>
      <c r="I170" s="41" t="s">
        <v>1929</v>
      </c>
      <c r="K170" s="41" t="s">
        <v>1930</v>
      </c>
      <c r="L170" s="41" t="s">
        <v>1931</v>
      </c>
      <c r="M170" s="41" t="s">
        <v>1932</v>
      </c>
      <c r="N170" s="41" t="s">
        <v>1933</v>
      </c>
      <c r="O170" s="41" t="s">
        <v>1934</v>
      </c>
      <c r="P170" s="41" t="s">
        <v>1935</v>
      </c>
      <c r="Q170" s="41" t="s">
        <v>1936</v>
      </c>
      <c r="R170" s="41" t="s">
        <v>1937</v>
      </c>
      <c r="S170" s="41" t="s">
        <v>1938</v>
      </c>
      <c r="T170" s="41" t="s">
        <v>1939</v>
      </c>
      <c r="U170" s="41" t="s">
        <v>1940</v>
      </c>
      <c r="V170" s="41" t="s">
        <v>1941</v>
      </c>
    </row>
    <row r="171" spans="1:22" x14ac:dyDescent="0.25">
      <c r="A171" s="41" t="s">
        <v>45</v>
      </c>
      <c r="B171" s="41" t="s">
        <v>2363</v>
      </c>
      <c r="F171" s="41" t="s">
        <v>2364</v>
      </c>
      <c r="H171" s="41" t="s">
        <v>1958</v>
      </c>
      <c r="I171" s="41" t="s">
        <v>2468</v>
      </c>
      <c r="K171" s="41" t="s">
        <v>2474</v>
      </c>
      <c r="L171" s="41" t="s">
        <v>2480</v>
      </c>
      <c r="M171" s="41" t="s">
        <v>2486</v>
      </c>
      <c r="N171" s="41" t="s">
        <v>2365</v>
      </c>
      <c r="O171" s="41" t="s">
        <v>2492</v>
      </c>
      <c r="P171" s="41" t="s">
        <v>2498</v>
      </c>
      <c r="Q171" s="41" t="s">
        <v>2504</v>
      </c>
      <c r="R171" s="41" t="s">
        <v>2510</v>
      </c>
      <c r="S171" s="41" t="s">
        <v>2516</v>
      </c>
      <c r="T171" s="41" t="s">
        <v>2522</v>
      </c>
      <c r="U171" s="41" t="s">
        <v>2528</v>
      </c>
      <c r="V171" s="41" t="s">
        <v>2366</v>
      </c>
    </row>
    <row r="172" spans="1:22" x14ac:dyDescent="0.25">
      <c r="A172" s="41" t="s">
        <v>45</v>
      </c>
      <c r="B172" s="41" t="s">
        <v>2367</v>
      </c>
      <c r="F172" s="41" t="s">
        <v>2368</v>
      </c>
      <c r="H172" s="41" t="s">
        <v>1963</v>
      </c>
      <c r="I172" s="41" t="s">
        <v>2469</v>
      </c>
      <c r="K172" s="41" t="s">
        <v>2475</v>
      </c>
      <c r="L172" s="41" t="s">
        <v>2481</v>
      </c>
      <c r="M172" s="41" t="s">
        <v>2487</v>
      </c>
      <c r="N172" s="41" t="s">
        <v>2369</v>
      </c>
      <c r="O172" s="41" t="s">
        <v>2493</v>
      </c>
      <c r="P172" s="41" t="s">
        <v>2499</v>
      </c>
      <c r="Q172" s="41" t="s">
        <v>2505</v>
      </c>
      <c r="R172" s="41" t="s">
        <v>2511</v>
      </c>
      <c r="S172" s="41" t="s">
        <v>2517</v>
      </c>
      <c r="T172" s="41" t="s">
        <v>2523</v>
      </c>
      <c r="U172" s="41" t="s">
        <v>2529</v>
      </c>
      <c r="V172" s="41" t="s">
        <v>2370</v>
      </c>
    </row>
    <row r="173" spans="1:22" x14ac:dyDescent="0.25">
      <c r="A173" s="41" t="s">
        <v>45</v>
      </c>
      <c r="B173" s="41" t="s">
        <v>1062</v>
      </c>
      <c r="F173" s="41" t="s">
        <v>1063</v>
      </c>
      <c r="H173" s="41" t="s">
        <v>1197</v>
      </c>
      <c r="I173" s="41" t="s">
        <v>1114</v>
      </c>
      <c r="K173" s="41" t="s">
        <v>1115</v>
      </c>
      <c r="L173" s="41" t="s">
        <v>1116</v>
      </c>
      <c r="M173" s="41" t="s">
        <v>1117</v>
      </c>
      <c r="N173" s="41" t="s">
        <v>1064</v>
      </c>
      <c r="O173" s="41" t="s">
        <v>1118</v>
      </c>
      <c r="P173" s="41" t="s">
        <v>1119</v>
      </c>
      <c r="Q173" s="41" t="s">
        <v>1120</v>
      </c>
      <c r="R173" s="41" t="s">
        <v>1121</v>
      </c>
      <c r="S173" s="41" t="s">
        <v>1122</v>
      </c>
      <c r="T173" s="41" t="s">
        <v>1123</v>
      </c>
      <c r="U173" s="41" t="s">
        <v>1124</v>
      </c>
      <c r="V173" s="41" t="s">
        <v>1065</v>
      </c>
    </row>
    <row r="174" spans="1:22" x14ac:dyDescent="0.25">
      <c r="A174" s="41" t="s">
        <v>45</v>
      </c>
      <c r="B174" s="41" t="s">
        <v>1942</v>
      </c>
      <c r="F174" s="41" t="s">
        <v>1943</v>
      </c>
      <c r="H174" s="41" t="s">
        <v>1966</v>
      </c>
      <c r="I174" s="41" t="s">
        <v>2042</v>
      </c>
      <c r="K174" s="41" t="s">
        <v>2044</v>
      </c>
      <c r="L174" s="41" t="s">
        <v>2046</v>
      </c>
      <c r="M174" s="41" t="s">
        <v>2048</v>
      </c>
      <c r="N174" s="41" t="s">
        <v>1944</v>
      </c>
      <c r="O174" s="41" t="s">
        <v>2050</v>
      </c>
      <c r="P174" s="41" t="s">
        <v>2052</v>
      </c>
      <c r="Q174" s="41" t="s">
        <v>2054</v>
      </c>
      <c r="R174" s="41" t="s">
        <v>2056</v>
      </c>
      <c r="S174" s="41" t="s">
        <v>2058</v>
      </c>
      <c r="T174" s="41" t="s">
        <v>2060</v>
      </c>
      <c r="U174" s="41" t="s">
        <v>2062</v>
      </c>
      <c r="V174" s="41" t="s">
        <v>1945</v>
      </c>
    </row>
    <row r="175" spans="1:22" x14ac:dyDescent="0.25">
      <c r="A175" s="41" t="s">
        <v>45</v>
      </c>
      <c r="B175" s="41" t="s">
        <v>1946</v>
      </c>
      <c r="F175" s="41" t="s">
        <v>1947</v>
      </c>
      <c r="H175" s="41" t="s">
        <v>1070</v>
      </c>
      <c r="I175" s="41" t="s">
        <v>2043</v>
      </c>
      <c r="K175" s="41" t="s">
        <v>2045</v>
      </c>
      <c r="L175" s="41" t="s">
        <v>2047</v>
      </c>
      <c r="M175" s="41" t="s">
        <v>2049</v>
      </c>
      <c r="N175" s="41" t="s">
        <v>1948</v>
      </c>
      <c r="O175" s="41" t="s">
        <v>2051</v>
      </c>
      <c r="P175" s="41" t="s">
        <v>2053</v>
      </c>
      <c r="Q175" s="41" t="s">
        <v>2055</v>
      </c>
      <c r="R175" s="41" t="s">
        <v>2057</v>
      </c>
      <c r="S175" s="41" t="s">
        <v>2059</v>
      </c>
      <c r="T175" s="41" t="s">
        <v>2061</v>
      </c>
      <c r="U175" s="41" t="s">
        <v>2063</v>
      </c>
      <c r="V175" s="41" t="s">
        <v>1949</v>
      </c>
    </row>
    <row r="176" spans="1:22" x14ac:dyDescent="0.25">
      <c r="A176" s="41" t="s">
        <v>45</v>
      </c>
      <c r="B176" s="41" t="s">
        <v>2371</v>
      </c>
      <c r="F176" s="41" t="s">
        <v>2372</v>
      </c>
      <c r="H176" s="41" t="s">
        <v>901</v>
      </c>
      <c r="I176" s="41" t="s">
        <v>2470</v>
      </c>
      <c r="K176" s="41" t="s">
        <v>2476</v>
      </c>
      <c r="L176" s="41" t="s">
        <v>2482</v>
      </c>
      <c r="M176" s="41" t="s">
        <v>2488</v>
      </c>
      <c r="N176" s="41" t="s">
        <v>2373</v>
      </c>
      <c r="O176" s="41" t="s">
        <v>2494</v>
      </c>
      <c r="P176" s="41" t="s">
        <v>2500</v>
      </c>
      <c r="Q176" s="41" t="s">
        <v>2506</v>
      </c>
      <c r="R176" s="41" t="s">
        <v>2512</v>
      </c>
      <c r="S176" s="41" t="s">
        <v>2518</v>
      </c>
      <c r="T176" s="41" t="s">
        <v>2524</v>
      </c>
      <c r="U176" s="41" t="s">
        <v>2530</v>
      </c>
      <c r="V176" s="41" t="s">
        <v>2374</v>
      </c>
    </row>
    <row r="177" spans="1:22" x14ac:dyDescent="0.25">
      <c r="A177" s="41" t="s">
        <v>45</v>
      </c>
      <c r="B177" s="41" t="s">
        <v>2375</v>
      </c>
      <c r="F177" s="41" t="s">
        <v>2376</v>
      </c>
      <c r="H177" s="41" t="s">
        <v>720</v>
      </c>
      <c r="I177" s="41" t="s">
        <v>2471</v>
      </c>
      <c r="K177" s="41" t="s">
        <v>2477</v>
      </c>
      <c r="L177" s="41" t="s">
        <v>2483</v>
      </c>
      <c r="M177" s="41" t="s">
        <v>2489</v>
      </c>
      <c r="N177" s="41" t="s">
        <v>2377</v>
      </c>
      <c r="O177" s="41" t="s">
        <v>2495</v>
      </c>
      <c r="P177" s="41" t="s">
        <v>2501</v>
      </c>
      <c r="Q177" s="41" t="s">
        <v>2507</v>
      </c>
      <c r="R177" s="41" t="s">
        <v>2513</v>
      </c>
      <c r="S177" s="41" t="s">
        <v>2519</v>
      </c>
      <c r="T177" s="41" t="s">
        <v>2525</v>
      </c>
      <c r="U177" s="41" t="s">
        <v>2531</v>
      </c>
      <c r="V177" s="41" t="s">
        <v>2378</v>
      </c>
    </row>
    <row r="178" spans="1:22" x14ac:dyDescent="0.25">
      <c r="A178" s="41" t="s">
        <v>45</v>
      </c>
    </row>
    <row r="179" spans="1:22" x14ac:dyDescent="0.25">
      <c r="A179" s="41" t="s">
        <v>45</v>
      </c>
      <c r="F179" s="41" t="s">
        <v>2379</v>
      </c>
      <c r="G179" s="41" t="s">
        <v>62</v>
      </c>
      <c r="J179" s="41" t="s">
        <v>2380</v>
      </c>
    </row>
    <row r="180" spans="1:22" x14ac:dyDescent="0.25">
      <c r="A180" s="41" t="s">
        <v>45</v>
      </c>
      <c r="B180" s="41" t="s">
        <v>1950</v>
      </c>
      <c r="F180" s="41" t="s">
        <v>1951</v>
      </c>
      <c r="H180" s="41" t="s">
        <v>2381</v>
      </c>
      <c r="I180" s="41" t="s">
        <v>2031</v>
      </c>
      <c r="K180" s="41" t="s">
        <v>2032</v>
      </c>
      <c r="L180" s="41" t="s">
        <v>2033</v>
      </c>
      <c r="M180" s="41" t="s">
        <v>2034</v>
      </c>
      <c r="N180" s="41" t="s">
        <v>1952</v>
      </c>
      <c r="O180" s="41" t="s">
        <v>2035</v>
      </c>
      <c r="P180" s="41" t="s">
        <v>2036</v>
      </c>
      <c r="Q180" s="41" t="s">
        <v>2037</v>
      </c>
      <c r="R180" s="41" t="s">
        <v>2038</v>
      </c>
      <c r="S180" s="41" t="s">
        <v>2039</v>
      </c>
      <c r="T180" s="41" t="s">
        <v>2040</v>
      </c>
      <c r="U180" s="41" t="s">
        <v>2041</v>
      </c>
      <c r="V180" s="41" t="s">
        <v>1953</v>
      </c>
    </row>
    <row r="181" spans="1:22" x14ac:dyDescent="0.25">
      <c r="A181" s="41" t="s">
        <v>45</v>
      </c>
      <c r="B181" s="41" t="s">
        <v>2382</v>
      </c>
      <c r="F181" s="41" t="s">
        <v>2383</v>
      </c>
      <c r="H181" s="41" t="s">
        <v>902</v>
      </c>
      <c r="I181" s="41" t="s">
        <v>2422</v>
      </c>
      <c r="K181" s="41" t="s">
        <v>2426</v>
      </c>
      <c r="L181" s="41" t="s">
        <v>2430</v>
      </c>
      <c r="M181" s="41" t="s">
        <v>2434</v>
      </c>
      <c r="N181" s="41" t="s">
        <v>2384</v>
      </c>
      <c r="O181" s="41" t="s">
        <v>2438</v>
      </c>
      <c r="P181" s="41" t="s">
        <v>2442</v>
      </c>
      <c r="Q181" s="41" t="s">
        <v>2446</v>
      </c>
      <c r="R181" s="41" t="s">
        <v>2450</v>
      </c>
      <c r="S181" s="41" t="s">
        <v>2454</v>
      </c>
      <c r="T181" s="41" t="s">
        <v>2458</v>
      </c>
      <c r="U181" s="41" t="s">
        <v>2462</v>
      </c>
      <c r="V181" s="41" t="s">
        <v>2385</v>
      </c>
    </row>
    <row r="182" spans="1:22" x14ac:dyDescent="0.25">
      <c r="A182" s="41" t="s">
        <v>45</v>
      </c>
      <c r="B182" s="41" t="s">
        <v>2386</v>
      </c>
      <c r="F182" s="41" t="s">
        <v>2387</v>
      </c>
      <c r="H182" s="41" t="s">
        <v>575</v>
      </c>
      <c r="I182" s="41" t="s">
        <v>2423</v>
      </c>
      <c r="K182" s="41" t="s">
        <v>2427</v>
      </c>
      <c r="L182" s="41" t="s">
        <v>2431</v>
      </c>
      <c r="M182" s="41" t="s">
        <v>2435</v>
      </c>
      <c r="N182" s="41" t="s">
        <v>2388</v>
      </c>
      <c r="O182" s="41" t="s">
        <v>2439</v>
      </c>
      <c r="P182" s="41" t="s">
        <v>2443</v>
      </c>
      <c r="Q182" s="41" t="s">
        <v>2447</v>
      </c>
      <c r="R182" s="41" t="s">
        <v>2451</v>
      </c>
      <c r="S182" s="41" t="s">
        <v>2455</v>
      </c>
      <c r="T182" s="41" t="s">
        <v>2459</v>
      </c>
      <c r="U182" s="41" t="s">
        <v>2463</v>
      </c>
      <c r="V182" s="41" t="s">
        <v>2389</v>
      </c>
    </row>
    <row r="183" spans="1:22" x14ac:dyDescent="0.25">
      <c r="A183" s="41" t="s">
        <v>45</v>
      </c>
      <c r="B183" s="41" t="s">
        <v>1645</v>
      </c>
      <c r="F183" s="41" t="s">
        <v>1646</v>
      </c>
      <c r="H183" s="41" t="s">
        <v>396</v>
      </c>
      <c r="I183" s="41" t="s">
        <v>1694</v>
      </c>
      <c r="K183" s="41" t="s">
        <v>1695</v>
      </c>
      <c r="L183" s="41" t="s">
        <v>1696</v>
      </c>
      <c r="M183" s="41" t="s">
        <v>1697</v>
      </c>
      <c r="N183" s="41" t="s">
        <v>1647</v>
      </c>
      <c r="O183" s="41" t="s">
        <v>1698</v>
      </c>
      <c r="P183" s="41" t="s">
        <v>1699</v>
      </c>
      <c r="Q183" s="41" t="s">
        <v>1700</v>
      </c>
      <c r="R183" s="41" t="s">
        <v>1701</v>
      </c>
      <c r="S183" s="41" t="s">
        <v>1702</v>
      </c>
      <c r="T183" s="41" t="s">
        <v>1703</v>
      </c>
      <c r="U183" s="41" t="s">
        <v>1704</v>
      </c>
      <c r="V183" s="41" t="s">
        <v>1648</v>
      </c>
    </row>
    <row r="184" spans="1:22" x14ac:dyDescent="0.25">
      <c r="A184" s="41" t="s">
        <v>45</v>
      </c>
      <c r="B184" s="41" t="s">
        <v>1506</v>
      </c>
      <c r="F184" s="41" t="s">
        <v>1507</v>
      </c>
      <c r="H184" s="41" t="s">
        <v>397</v>
      </c>
      <c r="I184" s="41" t="s">
        <v>1525</v>
      </c>
      <c r="K184" s="41" t="s">
        <v>1526</v>
      </c>
      <c r="L184" s="41" t="s">
        <v>1527</v>
      </c>
      <c r="M184" s="41" t="s">
        <v>1528</v>
      </c>
      <c r="N184" s="41" t="s">
        <v>1508</v>
      </c>
      <c r="O184" s="41" t="s">
        <v>1529</v>
      </c>
      <c r="P184" s="41" t="s">
        <v>1530</v>
      </c>
      <c r="Q184" s="41" t="s">
        <v>1531</v>
      </c>
      <c r="R184" s="41" t="s">
        <v>1532</v>
      </c>
      <c r="S184" s="41" t="s">
        <v>1533</v>
      </c>
      <c r="T184" s="41" t="s">
        <v>1534</v>
      </c>
      <c r="U184" s="41" t="s">
        <v>1535</v>
      </c>
      <c r="V184" s="41" t="s">
        <v>1509</v>
      </c>
    </row>
    <row r="185" spans="1:22" x14ac:dyDescent="0.25">
      <c r="A185" s="41" t="s">
        <v>45</v>
      </c>
      <c r="B185" s="41" t="s">
        <v>1412</v>
      </c>
      <c r="F185" s="41" t="s">
        <v>1413</v>
      </c>
      <c r="H185" s="41" t="s">
        <v>976</v>
      </c>
      <c r="I185" s="41" t="s">
        <v>1431</v>
      </c>
      <c r="K185" s="41" t="s">
        <v>1432</v>
      </c>
      <c r="L185" s="41" t="s">
        <v>1433</v>
      </c>
      <c r="M185" s="41" t="s">
        <v>1434</v>
      </c>
      <c r="N185" s="41" t="s">
        <v>1414</v>
      </c>
      <c r="O185" s="41" t="s">
        <v>1435</v>
      </c>
      <c r="P185" s="41" t="s">
        <v>1436</v>
      </c>
      <c r="Q185" s="41" t="s">
        <v>1437</v>
      </c>
      <c r="R185" s="41" t="s">
        <v>1438</v>
      </c>
      <c r="S185" s="41" t="s">
        <v>1439</v>
      </c>
      <c r="T185" s="41" t="s">
        <v>1440</v>
      </c>
      <c r="U185" s="41" t="s">
        <v>1441</v>
      </c>
      <c r="V185" s="41" t="s">
        <v>1415</v>
      </c>
    </row>
    <row r="186" spans="1:22" x14ac:dyDescent="0.25">
      <c r="A186" s="41" t="s">
        <v>45</v>
      </c>
      <c r="B186" s="41" t="s">
        <v>1066</v>
      </c>
      <c r="F186" s="41" t="s">
        <v>1067</v>
      </c>
      <c r="H186" s="41" t="s">
        <v>398</v>
      </c>
      <c r="I186" s="41" t="s">
        <v>1103</v>
      </c>
      <c r="K186" s="41" t="s">
        <v>1104</v>
      </c>
      <c r="L186" s="41" t="s">
        <v>1105</v>
      </c>
      <c r="M186" s="41" t="s">
        <v>1106</v>
      </c>
      <c r="N186" s="41" t="s">
        <v>1068</v>
      </c>
      <c r="O186" s="41" t="s">
        <v>1107</v>
      </c>
      <c r="P186" s="41" t="s">
        <v>1108</v>
      </c>
      <c r="Q186" s="41" t="s">
        <v>1109</v>
      </c>
      <c r="R186" s="41" t="s">
        <v>1110</v>
      </c>
      <c r="S186" s="41" t="s">
        <v>1111</v>
      </c>
      <c r="T186" s="41" t="s">
        <v>1112</v>
      </c>
      <c r="U186" s="41" t="s">
        <v>1113</v>
      </c>
      <c r="V186" s="41" t="s">
        <v>1069</v>
      </c>
    </row>
    <row r="187" spans="1:22" x14ac:dyDescent="0.25">
      <c r="A187" s="41" t="s">
        <v>45</v>
      </c>
      <c r="B187" s="41" t="s">
        <v>1956</v>
      </c>
      <c r="F187" s="41" t="s">
        <v>1957</v>
      </c>
      <c r="H187" s="41" t="s">
        <v>721</v>
      </c>
      <c r="I187" s="41" t="s">
        <v>2009</v>
      </c>
      <c r="K187" s="41" t="s">
        <v>2011</v>
      </c>
      <c r="L187" s="41" t="s">
        <v>2013</v>
      </c>
      <c r="M187" s="41" t="s">
        <v>2015</v>
      </c>
      <c r="N187" s="41" t="s">
        <v>1959</v>
      </c>
      <c r="O187" s="41" t="s">
        <v>2017</v>
      </c>
      <c r="P187" s="41" t="s">
        <v>2019</v>
      </c>
      <c r="Q187" s="41" t="s">
        <v>2021</v>
      </c>
      <c r="R187" s="41" t="s">
        <v>2023</v>
      </c>
      <c r="S187" s="41" t="s">
        <v>2025</v>
      </c>
      <c r="T187" s="41" t="s">
        <v>2027</v>
      </c>
      <c r="U187" s="41" t="s">
        <v>2029</v>
      </c>
      <c r="V187" s="41" t="s">
        <v>1960</v>
      </c>
    </row>
    <row r="188" spans="1:22" x14ac:dyDescent="0.25">
      <c r="A188" s="41" t="s">
        <v>45</v>
      </c>
      <c r="B188" s="41" t="s">
        <v>1961</v>
      </c>
      <c r="F188" s="41" t="s">
        <v>1962</v>
      </c>
      <c r="H188" s="41" t="s">
        <v>399</v>
      </c>
      <c r="I188" s="41" t="s">
        <v>2010</v>
      </c>
      <c r="K188" s="41" t="s">
        <v>2012</v>
      </c>
      <c r="L188" s="41" t="s">
        <v>2014</v>
      </c>
      <c r="M188" s="41" t="s">
        <v>2016</v>
      </c>
      <c r="N188" s="41" t="s">
        <v>1964</v>
      </c>
      <c r="O188" s="41" t="s">
        <v>2018</v>
      </c>
      <c r="P188" s="41" t="s">
        <v>2020</v>
      </c>
      <c r="Q188" s="41" t="s">
        <v>2022</v>
      </c>
      <c r="R188" s="41" t="s">
        <v>2024</v>
      </c>
      <c r="S188" s="41" t="s">
        <v>2026</v>
      </c>
      <c r="T188" s="41" t="s">
        <v>2028</v>
      </c>
      <c r="U188" s="41" t="s">
        <v>2030</v>
      </c>
      <c r="V188" s="41" t="s">
        <v>1965</v>
      </c>
    </row>
    <row r="189" spans="1:22" x14ac:dyDescent="0.25">
      <c r="A189" s="41" t="s">
        <v>45</v>
      </c>
      <c r="B189" s="41" t="s">
        <v>1771</v>
      </c>
      <c r="F189" s="41" t="s">
        <v>1772</v>
      </c>
      <c r="H189" s="41" t="s">
        <v>400</v>
      </c>
      <c r="I189" s="41" t="s">
        <v>1790</v>
      </c>
      <c r="K189" s="41" t="s">
        <v>1791</v>
      </c>
      <c r="L189" s="41" t="s">
        <v>1792</v>
      </c>
      <c r="M189" s="41" t="s">
        <v>1793</v>
      </c>
      <c r="N189" s="41" t="s">
        <v>1773</v>
      </c>
      <c r="O189" s="41" t="s">
        <v>1794</v>
      </c>
      <c r="P189" s="41" t="s">
        <v>1795</v>
      </c>
      <c r="Q189" s="41" t="s">
        <v>1796</v>
      </c>
      <c r="R189" s="41" t="s">
        <v>1797</v>
      </c>
      <c r="S189" s="41" t="s">
        <v>1798</v>
      </c>
      <c r="T189" s="41" t="s">
        <v>1799</v>
      </c>
      <c r="U189" s="41" t="s">
        <v>1800</v>
      </c>
      <c r="V189" s="41" t="s">
        <v>1774</v>
      </c>
    </row>
    <row r="190" spans="1:22" x14ac:dyDescent="0.25">
      <c r="A190" s="41" t="s">
        <v>45</v>
      </c>
      <c r="B190" s="41" t="s">
        <v>1649</v>
      </c>
      <c r="F190" s="41" t="s">
        <v>1650</v>
      </c>
      <c r="H190" s="41" t="s">
        <v>401</v>
      </c>
      <c r="I190" s="41" t="s">
        <v>1672</v>
      </c>
      <c r="K190" s="41" t="s">
        <v>1674</v>
      </c>
      <c r="L190" s="41" t="s">
        <v>1676</v>
      </c>
      <c r="M190" s="41" t="s">
        <v>1678</v>
      </c>
      <c r="N190" s="41" t="s">
        <v>1651</v>
      </c>
      <c r="O190" s="41" t="s">
        <v>1680</v>
      </c>
      <c r="P190" s="41" t="s">
        <v>1682</v>
      </c>
      <c r="Q190" s="41" t="s">
        <v>1684</v>
      </c>
      <c r="R190" s="41" t="s">
        <v>1686</v>
      </c>
      <c r="S190" s="41" t="s">
        <v>1688</v>
      </c>
      <c r="T190" s="41" t="s">
        <v>1690</v>
      </c>
      <c r="U190" s="41" t="s">
        <v>1692</v>
      </c>
      <c r="V190" s="41" t="s">
        <v>1652</v>
      </c>
    </row>
    <row r="191" spans="1:22" x14ac:dyDescent="0.25">
      <c r="A191" s="41" t="s">
        <v>45</v>
      </c>
      <c r="B191" s="41" t="s">
        <v>1653</v>
      </c>
      <c r="F191" s="41" t="s">
        <v>1654</v>
      </c>
      <c r="H191" s="41" t="s">
        <v>402</v>
      </c>
      <c r="I191" s="41" t="s">
        <v>1673</v>
      </c>
      <c r="K191" s="41" t="s">
        <v>1675</v>
      </c>
      <c r="L191" s="41" t="s">
        <v>1677</v>
      </c>
      <c r="M191" s="41" t="s">
        <v>1679</v>
      </c>
      <c r="N191" s="41" t="s">
        <v>1655</v>
      </c>
      <c r="O191" s="41" t="s">
        <v>1681</v>
      </c>
      <c r="P191" s="41" t="s">
        <v>1683</v>
      </c>
      <c r="Q191" s="41" t="s">
        <v>1685</v>
      </c>
      <c r="R191" s="41" t="s">
        <v>1687</v>
      </c>
      <c r="S191" s="41" t="s">
        <v>1689</v>
      </c>
      <c r="T191" s="41" t="s">
        <v>1691</v>
      </c>
      <c r="U191" s="41" t="s">
        <v>1693</v>
      </c>
      <c r="V191" s="41" t="s">
        <v>1656</v>
      </c>
    </row>
    <row r="192" spans="1:22" x14ac:dyDescent="0.25">
      <c r="A192" s="41" t="s">
        <v>45</v>
      </c>
      <c r="B192" s="41" t="s">
        <v>780</v>
      </c>
      <c r="F192" s="41" t="s">
        <v>781</v>
      </c>
      <c r="H192" s="41" t="s">
        <v>977</v>
      </c>
      <c r="I192" s="41" t="s">
        <v>784</v>
      </c>
      <c r="K192" s="41" t="s">
        <v>785</v>
      </c>
      <c r="L192" s="41" t="s">
        <v>786</v>
      </c>
      <c r="M192" s="41" t="s">
        <v>787</v>
      </c>
      <c r="N192" s="41" t="s">
        <v>782</v>
      </c>
      <c r="O192" s="41" t="s">
        <v>788</v>
      </c>
      <c r="P192" s="41" t="s">
        <v>789</v>
      </c>
      <c r="Q192" s="41" t="s">
        <v>790</v>
      </c>
      <c r="R192" s="41" t="s">
        <v>791</v>
      </c>
      <c r="S192" s="41" t="s">
        <v>792</v>
      </c>
      <c r="T192" s="41" t="s">
        <v>793</v>
      </c>
      <c r="U192" s="41" t="s">
        <v>794</v>
      </c>
      <c r="V192" s="41" t="s">
        <v>783</v>
      </c>
    </row>
    <row r="193" spans="1:22" x14ac:dyDescent="0.25">
      <c r="A193" s="41" t="s">
        <v>45</v>
      </c>
      <c r="B193" s="41" t="s">
        <v>1247</v>
      </c>
      <c r="F193" s="41" t="s">
        <v>1248</v>
      </c>
      <c r="H193" s="41" t="s">
        <v>722</v>
      </c>
      <c r="I193" s="41" t="s">
        <v>1285</v>
      </c>
      <c r="K193" s="41" t="s">
        <v>1287</v>
      </c>
      <c r="L193" s="41" t="s">
        <v>1289</v>
      </c>
      <c r="M193" s="41" t="s">
        <v>1291</v>
      </c>
      <c r="N193" s="41" t="s">
        <v>1249</v>
      </c>
      <c r="O193" s="41" t="s">
        <v>1293</v>
      </c>
      <c r="P193" s="41" t="s">
        <v>1295</v>
      </c>
      <c r="Q193" s="41" t="s">
        <v>1297</v>
      </c>
      <c r="R193" s="41" t="s">
        <v>1299</v>
      </c>
      <c r="S193" s="41" t="s">
        <v>1301</v>
      </c>
      <c r="T193" s="41" t="s">
        <v>1303</v>
      </c>
      <c r="U193" s="41" t="s">
        <v>1305</v>
      </c>
      <c r="V193" s="41" t="s">
        <v>1250</v>
      </c>
    </row>
    <row r="194" spans="1:22" x14ac:dyDescent="0.25">
      <c r="A194" s="41" t="s">
        <v>45</v>
      </c>
      <c r="B194" s="41" t="s">
        <v>1251</v>
      </c>
      <c r="F194" s="41" t="s">
        <v>1252</v>
      </c>
      <c r="H194" s="41" t="s">
        <v>603</v>
      </c>
      <c r="I194" s="41" t="s">
        <v>1286</v>
      </c>
      <c r="K194" s="41" t="s">
        <v>1288</v>
      </c>
      <c r="L194" s="41" t="s">
        <v>1290</v>
      </c>
      <c r="M194" s="41" t="s">
        <v>1292</v>
      </c>
      <c r="N194" s="41" t="s">
        <v>1253</v>
      </c>
      <c r="O194" s="41" t="s">
        <v>1294</v>
      </c>
      <c r="P194" s="41" t="s">
        <v>1296</v>
      </c>
      <c r="Q194" s="41" t="s">
        <v>1298</v>
      </c>
      <c r="R194" s="41" t="s">
        <v>1300</v>
      </c>
      <c r="S194" s="41" t="s">
        <v>1302</v>
      </c>
      <c r="T194" s="41" t="s">
        <v>1304</v>
      </c>
      <c r="U194" s="41" t="s">
        <v>1306</v>
      </c>
      <c r="V194" s="41" t="s">
        <v>1254</v>
      </c>
    </row>
    <row r="195" spans="1:22" x14ac:dyDescent="0.25">
      <c r="A195" s="41" t="s">
        <v>45</v>
      </c>
      <c r="B195" s="41" t="s">
        <v>2390</v>
      </c>
      <c r="F195" s="41" t="s">
        <v>2391</v>
      </c>
      <c r="H195" s="41" t="s">
        <v>403</v>
      </c>
      <c r="I195" s="41" t="s">
        <v>2424</v>
      </c>
      <c r="K195" s="41" t="s">
        <v>2428</v>
      </c>
      <c r="L195" s="41" t="s">
        <v>2432</v>
      </c>
      <c r="M195" s="41" t="s">
        <v>2436</v>
      </c>
      <c r="N195" s="41" t="s">
        <v>2392</v>
      </c>
      <c r="O195" s="41" t="s">
        <v>2440</v>
      </c>
      <c r="P195" s="41" t="s">
        <v>2444</v>
      </c>
      <c r="Q195" s="41" t="s">
        <v>2448</v>
      </c>
      <c r="R195" s="41" t="s">
        <v>2452</v>
      </c>
      <c r="S195" s="41" t="s">
        <v>2456</v>
      </c>
      <c r="T195" s="41" t="s">
        <v>2460</v>
      </c>
      <c r="U195" s="41" t="s">
        <v>2464</v>
      </c>
      <c r="V195" s="41" t="s">
        <v>2393</v>
      </c>
    </row>
    <row r="196" spans="1:22" x14ac:dyDescent="0.25">
      <c r="A196" s="41" t="s">
        <v>45</v>
      </c>
      <c r="B196" s="41" t="s">
        <v>2394</v>
      </c>
      <c r="F196" s="41" t="s">
        <v>2395</v>
      </c>
      <c r="H196" s="41" t="s">
        <v>404</v>
      </c>
      <c r="I196" s="41" t="s">
        <v>2425</v>
      </c>
      <c r="K196" s="41" t="s">
        <v>2429</v>
      </c>
      <c r="L196" s="41" t="s">
        <v>2433</v>
      </c>
      <c r="M196" s="41" t="s">
        <v>2437</v>
      </c>
      <c r="N196" s="41" t="s">
        <v>2396</v>
      </c>
      <c r="O196" s="41" t="s">
        <v>2441</v>
      </c>
      <c r="P196" s="41" t="s">
        <v>2445</v>
      </c>
      <c r="Q196" s="41" t="s">
        <v>2449</v>
      </c>
      <c r="R196" s="41" t="s">
        <v>2453</v>
      </c>
      <c r="S196" s="41" t="s">
        <v>2457</v>
      </c>
      <c r="T196" s="41" t="s">
        <v>2461</v>
      </c>
      <c r="U196" s="41" t="s">
        <v>2465</v>
      </c>
      <c r="V196" s="41" t="s">
        <v>2397</v>
      </c>
    </row>
    <row r="197" spans="1:22" x14ac:dyDescent="0.25">
      <c r="A197" s="41" t="s">
        <v>45</v>
      </c>
      <c r="B197" s="41" t="s">
        <v>1510</v>
      </c>
      <c r="F197" s="41" t="s">
        <v>1511</v>
      </c>
      <c r="H197" s="41" t="s">
        <v>174</v>
      </c>
      <c r="I197" s="41" t="s">
        <v>1514</v>
      </c>
      <c r="K197" s="41" t="s">
        <v>1515</v>
      </c>
      <c r="L197" s="41" t="s">
        <v>1516</v>
      </c>
      <c r="M197" s="41" t="s">
        <v>1517</v>
      </c>
      <c r="N197" s="41" t="s">
        <v>1512</v>
      </c>
      <c r="O197" s="41" t="s">
        <v>1518</v>
      </c>
      <c r="P197" s="41" t="s">
        <v>1519</v>
      </c>
      <c r="Q197" s="41" t="s">
        <v>1520</v>
      </c>
      <c r="R197" s="41" t="s">
        <v>1521</v>
      </c>
      <c r="S197" s="41" t="s">
        <v>1522</v>
      </c>
      <c r="T197" s="41" t="s">
        <v>1523</v>
      </c>
      <c r="U197" s="41" t="s">
        <v>1524</v>
      </c>
      <c r="V197" s="41" t="s">
        <v>1513</v>
      </c>
    </row>
    <row r="198" spans="1:22" x14ac:dyDescent="0.25">
      <c r="A198" s="41" t="s">
        <v>45</v>
      </c>
      <c r="B198" s="41" t="s">
        <v>1416</v>
      </c>
      <c r="F198" s="41" t="s">
        <v>1417</v>
      </c>
      <c r="H198" s="41" t="s">
        <v>175</v>
      </c>
      <c r="I198" s="41" t="s">
        <v>1420</v>
      </c>
      <c r="K198" s="41" t="s">
        <v>1421</v>
      </c>
      <c r="L198" s="41" t="s">
        <v>1422</v>
      </c>
      <c r="M198" s="41" t="s">
        <v>1423</v>
      </c>
      <c r="N198" s="41" t="s">
        <v>1418</v>
      </c>
      <c r="O198" s="41" t="s">
        <v>1424</v>
      </c>
      <c r="P198" s="41" t="s">
        <v>1425</v>
      </c>
      <c r="Q198" s="41" t="s">
        <v>1426</v>
      </c>
      <c r="R198" s="41" t="s">
        <v>1427</v>
      </c>
      <c r="S198" s="41" t="s">
        <v>1428</v>
      </c>
      <c r="T198" s="41" t="s">
        <v>1429</v>
      </c>
      <c r="U198" s="41" t="s">
        <v>1430</v>
      </c>
      <c r="V198" s="41" t="s">
        <v>1419</v>
      </c>
    </row>
    <row r="199" spans="1:22" x14ac:dyDescent="0.25">
      <c r="A199" s="41" t="s">
        <v>45</v>
      </c>
      <c r="B199" s="41" t="s">
        <v>380</v>
      </c>
      <c r="F199" s="41" t="s">
        <v>381</v>
      </c>
      <c r="H199" s="41" t="s">
        <v>211</v>
      </c>
      <c r="I199" s="41" t="s">
        <v>419</v>
      </c>
      <c r="K199" s="41" t="s">
        <v>423</v>
      </c>
      <c r="L199" s="41" t="s">
        <v>427</v>
      </c>
      <c r="M199" s="41" t="s">
        <v>431</v>
      </c>
      <c r="N199" s="41" t="s">
        <v>382</v>
      </c>
      <c r="O199" s="41" t="s">
        <v>435</v>
      </c>
      <c r="P199" s="41" t="s">
        <v>439</v>
      </c>
      <c r="Q199" s="41" t="s">
        <v>443</v>
      </c>
      <c r="R199" s="41" t="s">
        <v>447</v>
      </c>
      <c r="S199" s="41" t="s">
        <v>451</v>
      </c>
      <c r="T199" s="41" t="s">
        <v>455</v>
      </c>
      <c r="U199" s="41" t="s">
        <v>459</v>
      </c>
      <c r="V199" s="41" t="s">
        <v>383</v>
      </c>
    </row>
    <row r="200" spans="1:22" x14ac:dyDescent="0.25">
      <c r="A200" s="41" t="s">
        <v>45</v>
      </c>
      <c r="B200" s="41" t="s">
        <v>384</v>
      </c>
      <c r="F200" s="41" t="s">
        <v>385</v>
      </c>
      <c r="H200" s="41" t="s">
        <v>1202</v>
      </c>
      <c r="I200" s="41" t="s">
        <v>420</v>
      </c>
      <c r="K200" s="41" t="s">
        <v>424</v>
      </c>
      <c r="L200" s="41" t="s">
        <v>428</v>
      </c>
      <c r="M200" s="41" t="s">
        <v>432</v>
      </c>
      <c r="N200" s="41" t="s">
        <v>386</v>
      </c>
      <c r="O200" s="41" t="s">
        <v>436</v>
      </c>
      <c r="P200" s="41" t="s">
        <v>440</v>
      </c>
      <c r="Q200" s="41" t="s">
        <v>444</v>
      </c>
      <c r="R200" s="41" t="s">
        <v>448</v>
      </c>
      <c r="S200" s="41" t="s">
        <v>452</v>
      </c>
      <c r="T200" s="41" t="s">
        <v>456</v>
      </c>
      <c r="U200" s="41" t="s">
        <v>460</v>
      </c>
      <c r="V200" s="41" t="s">
        <v>387</v>
      </c>
    </row>
    <row r="201" spans="1:22" x14ac:dyDescent="0.25">
      <c r="A201" s="41" t="s">
        <v>45</v>
      </c>
      <c r="B201" s="41" t="s">
        <v>388</v>
      </c>
      <c r="F201" s="41" t="s">
        <v>389</v>
      </c>
      <c r="H201" s="41" t="s">
        <v>181</v>
      </c>
      <c r="I201" s="41" t="s">
        <v>421</v>
      </c>
      <c r="K201" s="41" t="s">
        <v>425</v>
      </c>
      <c r="L201" s="41" t="s">
        <v>429</v>
      </c>
      <c r="M201" s="41" t="s">
        <v>433</v>
      </c>
      <c r="N201" s="41" t="s">
        <v>390</v>
      </c>
      <c r="O201" s="41" t="s">
        <v>437</v>
      </c>
      <c r="P201" s="41" t="s">
        <v>441</v>
      </c>
      <c r="Q201" s="41" t="s">
        <v>445</v>
      </c>
      <c r="R201" s="41" t="s">
        <v>449</v>
      </c>
      <c r="S201" s="41" t="s">
        <v>453</v>
      </c>
      <c r="T201" s="41" t="s">
        <v>457</v>
      </c>
      <c r="U201" s="41" t="s">
        <v>461</v>
      </c>
      <c r="V201" s="41" t="s">
        <v>391</v>
      </c>
    </row>
    <row r="202" spans="1:22" x14ac:dyDescent="0.25">
      <c r="A202" s="41" t="s">
        <v>45</v>
      </c>
      <c r="B202" s="41" t="s">
        <v>392</v>
      </c>
      <c r="F202" s="41" t="s">
        <v>393</v>
      </c>
      <c r="H202" s="41" t="s">
        <v>297</v>
      </c>
      <c r="I202" s="41" t="s">
        <v>422</v>
      </c>
      <c r="K202" s="41" t="s">
        <v>426</v>
      </c>
      <c r="L202" s="41" t="s">
        <v>430</v>
      </c>
      <c r="M202" s="41" t="s">
        <v>434</v>
      </c>
      <c r="N202" s="41" t="s">
        <v>394</v>
      </c>
      <c r="O202" s="41" t="s">
        <v>438</v>
      </c>
      <c r="P202" s="41" t="s">
        <v>442</v>
      </c>
      <c r="Q202" s="41" t="s">
        <v>446</v>
      </c>
      <c r="R202" s="41" t="s">
        <v>450</v>
      </c>
      <c r="S202" s="41" t="s">
        <v>454</v>
      </c>
      <c r="T202" s="41" t="s">
        <v>458</v>
      </c>
      <c r="U202" s="41" t="s">
        <v>462</v>
      </c>
      <c r="V202" s="41" t="s">
        <v>395</v>
      </c>
    </row>
    <row r="203" spans="1:22" x14ac:dyDescent="0.25">
      <c r="A203" s="41" t="s">
        <v>45</v>
      </c>
      <c r="B203" s="41" t="s">
        <v>1255</v>
      </c>
      <c r="F203" s="41" t="s">
        <v>1256</v>
      </c>
      <c r="H203" s="41" t="s">
        <v>405</v>
      </c>
      <c r="I203" s="41" t="s">
        <v>1263</v>
      </c>
      <c r="K203" s="41" t="s">
        <v>1265</v>
      </c>
      <c r="L203" s="41" t="s">
        <v>1267</v>
      </c>
      <c r="M203" s="41" t="s">
        <v>1269</v>
      </c>
      <c r="N203" s="41" t="s">
        <v>1257</v>
      </c>
      <c r="O203" s="41" t="s">
        <v>1271</v>
      </c>
      <c r="P203" s="41" t="s">
        <v>1273</v>
      </c>
      <c r="Q203" s="41" t="s">
        <v>1275</v>
      </c>
      <c r="R203" s="41" t="s">
        <v>1277</v>
      </c>
      <c r="S203" s="41" t="s">
        <v>1279</v>
      </c>
      <c r="T203" s="41" t="s">
        <v>1281</v>
      </c>
      <c r="U203" s="41" t="s">
        <v>1283</v>
      </c>
      <c r="V203" s="41" t="s">
        <v>1258</v>
      </c>
    </row>
    <row r="204" spans="1:22" x14ac:dyDescent="0.25">
      <c r="A204" s="41" t="s">
        <v>45</v>
      </c>
      <c r="B204" s="41" t="s">
        <v>1259</v>
      </c>
      <c r="F204" s="41" t="s">
        <v>1260</v>
      </c>
      <c r="H204" s="41" t="s">
        <v>660</v>
      </c>
      <c r="I204" s="41" t="s">
        <v>1264</v>
      </c>
      <c r="K204" s="41" t="s">
        <v>1266</v>
      </c>
      <c r="L204" s="41" t="s">
        <v>1268</v>
      </c>
      <c r="M204" s="41" t="s">
        <v>1270</v>
      </c>
      <c r="N204" s="41" t="s">
        <v>1261</v>
      </c>
      <c r="O204" s="41" t="s">
        <v>1272</v>
      </c>
      <c r="P204" s="41" t="s">
        <v>1274</v>
      </c>
      <c r="Q204" s="41" t="s">
        <v>1276</v>
      </c>
      <c r="R204" s="41" t="s">
        <v>1278</v>
      </c>
      <c r="S204" s="41" t="s">
        <v>1280</v>
      </c>
      <c r="T204" s="41" t="s">
        <v>1282</v>
      </c>
      <c r="U204" s="41" t="s">
        <v>1284</v>
      </c>
      <c r="V204" s="41" t="s">
        <v>1262</v>
      </c>
    </row>
    <row r="205" spans="1:22" x14ac:dyDescent="0.25">
      <c r="A205" s="41" t="s">
        <v>45</v>
      </c>
      <c r="B205" s="41" t="s">
        <v>1198</v>
      </c>
      <c r="F205" s="41" t="s">
        <v>1199</v>
      </c>
      <c r="H205" s="41" t="s">
        <v>576</v>
      </c>
      <c r="I205" s="41" t="s">
        <v>1204</v>
      </c>
      <c r="K205" s="41" t="s">
        <v>1205</v>
      </c>
      <c r="L205" s="41" t="s">
        <v>1206</v>
      </c>
      <c r="M205" s="41" t="s">
        <v>1207</v>
      </c>
      <c r="N205" s="41" t="s">
        <v>1200</v>
      </c>
      <c r="O205" s="41" t="s">
        <v>1208</v>
      </c>
      <c r="P205" s="41" t="s">
        <v>1209</v>
      </c>
      <c r="Q205" s="41" t="s">
        <v>1210</v>
      </c>
      <c r="R205" s="41" t="s">
        <v>1211</v>
      </c>
      <c r="S205" s="41" t="s">
        <v>1212</v>
      </c>
      <c r="T205" s="41" t="s">
        <v>1213</v>
      </c>
      <c r="U205" s="41" t="s">
        <v>1214</v>
      </c>
      <c r="V205" s="41" t="s">
        <v>1201</v>
      </c>
    </row>
    <row r="206" spans="1:22" x14ac:dyDescent="0.25">
      <c r="A206" s="41" t="s">
        <v>45</v>
      </c>
    </row>
    <row r="207" spans="1:22" x14ac:dyDescent="0.25">
      <c r="A207" s="41" t="s">
        <v>45</v>
      </c>
      <c r="F207" s="41" t="s">
        <v>2398</v>
      </c>
      <c r="G207" s="41" t="s">
        <v>63</v>
      </c>
      <c r="J207" s="41" t="s">
        <v>2399</v>
      </c>
    </row>
    <row r="208" spans="1:22" x14ac:dyDescent="0.25">
      <c r="A208" s="41" t="s">
        <v>45</v>
      </c>
      <c r="B208" s="41" t="s">
        <v>571</v>
      </c>
      <c r="F208" s="41" t="s">
        <v>572</v>
      </c>
      <c r="H208" s="41" t="s">
        <v>2400</v>
      </c>
      <c r="I208" s="41" t="s">
        <v>578</v>
      </c>
      <c r="K208" s="41" t="s">
        <v>579</v>
      </c>
      <c r="L208" s="41" t="s">
        <v>580</v>
      </c>
      <c r="M208" s="41" t="s">
        <v>581</v>
      </c>
      <c r="N208" s="41" t="s">
        <v>573</v>
      </c>
      <c r="O208" s="41" t="s">
        <v>582</v>
      </c>
      <c r="P208" s="41" t="s">
        <v>583</v>
      </c>
      <c r="Q208" s="41" t="s">
        <v>584</v>
      </c>
      <c r="R208" s="41" t="s">
        <v>585</v>
      </c>
      <c r="S208" s="41" t="s">
        <v>586</v>
      </c>
      <c r="T208" s="41" t="s">
        <v>587</v>
      </c>
      <c r="U208" s="41" t="s">
        <v>588</v>
      </c>
      <c r="V208" s="41" t="s">
        <v>574</v>
      </c>
    </row>
    <row r="209" spans="1:22" x14ac:dyDescent="0.25">
      <c r="A209" s="41" t="s">
        <v>45</v>
      </c>
      <c r="B209" s="41" t="s">
        <v>968</v>
      </c>
      <c r="F209" s="41" t="s">
        <v>969</v>
      </c>
      <c r="H209" s="41" t="s">
        <v>176</v>
      </c>
      <c r="I209" s="41" t="s">
        <v>978</v>
      </c>
      <c r="K209" s="41" t="s">
        <v>980</v>
      </c>
      <c r="L209" s="41" t="s">
        <v>982</v>
      </c>
      <c r="M209" s="41" t="s">
        <v>984</v>
      </c>
      <c r="N209" s="41" t="s">
        <v>970</v>
      </c>
      <c r="O209" s="41" t="s">
        <v>986</v>
      </c>
      <c r="P209" s="41" t="s">
        <v>988</v>
      </c>
      <c r="Q209" s="41" t="s">
        <v>990</v>
      </c>
      <c r="R209" s="41" t="s">
        <v>992</v>
      </c>
      <c r="S209" s="41" t="s">
        <v>994</v>
      </c>
      <c r="T209" s="41" t="s">
        <v>996</v>
      </c>
      <c r="U209" s="41" t="s">
        <v>998</v>
      </c>
      <c r="V209" s="41" t="s">
        <v>971</v>
      </c>
    </row>
    <row r="210" spans="1:22" x14ac:dyDescent="0.25">
      <c r="A210" s="41" t="s">
        <v>45</v>
      </c>
      <c r="B210" s="41" t="s">
        <v>972</v>
      </c>
      <c r="F210" s="41" t="s">
        <v>973</v>
      </c>
      <c r="H210" s="41" t="s">
        <v>177</v>
      </c>
      <c r="I210" s="41" t="s">
        <v>979</v>
      </c>
      <c r="K210" s="41" t="s">
        <v>981</v>
      </c>
      <c r="L210" s="41" t="s">
        <v>983</v>
      </c>
      <c r="M210" s="41" t="s">
        <v>985</v>
      </c>
      <c r="N210" s="41" t="s">
        <v>974</v>
      </c>
      <c r="O210" s="41" t="s">
        <v>987</v>
      </c>
      <c r="P210" s="41" t="s">
        <v>989</v>
      </c>
      <c r="Q210" s="41" t="s">
        <v>991</v>
      </c>
      <c r="R210" s="41" t="s">
        <v>993</v>
      </c>
      <c r="S210" s="41" t="s">
        <v>995</v>
      </c>
      <c r="T210" s="41" t="s">
        <v>997</v>
      </c>
      <c r="U210" s="41" t="s">
        <v>999</v>
      </c>
      <c r="V210" s="41" t="s">
        <v>975</v>
      </c>
    </row>
    <row r="211" spans="1:22" x14ac:dyDescent="0.25">
      <c r="A211" s="41" t="s">
        <v>45</v>
      </c>
      <c r="B211" s="41" t="s">
        <v>522</v>
      </c>
      <c r="F211" s="41" t="s">
        <v>523</v>
      </c>
      <c r="H211" s="41" t="s">
        <v>178</v>
      </c>
      <c r="I211" s="41" t="s">
        <v>530</v>
      </c>
      <c r="K211" s="41" t="s">
        <v>532</v>
      </c>
      <c r="L211" s="41" t="s">
        <v>534</v>
      </c>
      <c r="M211" s="41" t="s">
        <v>536</v>
      </c>
      <c r="N211" s="41" t="s">
        <v>524</v>
      </c>
      <c r="O211" s="41" t="s">
        <v>538</v>
      </c>
      <c r="P211" s="41" t="s">
        <v>540</v>
      </c>
      <c r="Q211" s="41" t="s">
        <v>542</v>
      </c>
      <c r="R211" s="41" t="s">
        <v>544</v>
      </c>
      <c r="S211" s="41" t="s">
        <v>546</v>
      </c>
      <c r="T211" s="41" t="s">
        <v>548</v>
      </c>
      <c r="U211" s="41" t="s">
        <v>550</v>
      </c>
      <c r="V211" s="41" t="s">
        <v>525</v>
      </c>
    </row>
    <row r="212" spans="1:22" x14ac:dyDescent="0.25">
      <c r="A212" s="41" t="s">
        <v>45</v>
      </c>
      <c r="B212" s="41" t="s">
        <v>526</v>
      </c>
      <c r="F212" s="41" t="s">
        <v>527</v>
      </c>
      <c r="H212" s="41" t="s">
        <v>212</v>
      </c>
      <c r="I212" s="41" t="s">
        <v>531</v>
      </c>
      <c r="K212" s="41" t="s">
        <v>533</v>
      </c>
      <c r="L212" s="41" t="s">
        <v>535</v>
      </c>
      <c r="M212" s="41" t="s">
        <v>537</v>
      </c>
      <c r="N212" s="41" t="s">
        <v>528</v>
      </c>
      <c r="O212" s="41" t="s">
        <v>539</v>
      </c>
      <c r="P212" s="41" t="s">
        <v>541</v>
      </c>
      <c r="Q212" s="41" t="s">
        <v>543</v>
      </c>
      <c r="R212" s="41" t="s">
        <v>545</v>
      </c>
      <c r="S212" s="41" t="s">
        <v>547</v>
      </c>
      <c r="T212" s="41" t="s">
        <v>549</v>
      </c>
      <c r="U212" s="41" t="s">
        <v>551</v>
      </c>
      <c r="V212" s="41" t="s">
        <v>529</v>
      </c>
    </row>
    <row r="213" spans="1:22" x14ac:dyDescent="0.25">
      <c r="A213" s="41" t="s">
        <v>45</v>
      </c>
      <c r="B213" s="41" t="s">
        <v>1071</v>
      </c>
      <c r="F213" s="41" t="s">
        <v>1072</v>
      </c>
      <c r="H213" s="41" t="s">
        <v>1079</v>
      </c>
      <c r="I213" s="41" t="s">
        <v>1081</v>
      </c>
      <c r="K213" s="41" t="s">
        <v>1083</v>
      </c>
      <c r="L213" s="41" t="s">
        <v>1085</v>
      </c>
      <c r="M213" s="41" t="s">
        <v>1087</v>
      </c>
      <c r="N213" s="41" t="s">
        <v>1073</v>
      </c>
      <c r="O213" s="41" t="s">
        <v>1089</v>
      </c>
      <c r="P213" s="41" t="s">
        <v>1091</v>
      </c>
      <c r="Q213" s="41" t="s">
        <v>1093</v>
      </c>
      <c r="R213" s="41" t="s">
        <v>1095</v>
      </c>
      <c r="S213" s="41" t="s">
        <v>1097</v>
      </c>
      <c r="T213" s="41" t="s">
        <v>1099</v>
      </c>
      <c r="U213" s="41" t="s">
        <v>1101</v>
      </c>
      <c r="V213" s="41" t="s">
        <v>1074</v>
      </c>
    </row>
    <row r="214" spans="1:22" x14ac:dyDescent="0.25">
      <c r="A214" s="41" t="s">
        <v>45</v>
      </c>
      <c r="B214" s="41" t="s">
        <v>1075</v>
      </c>
      <c r="F214" s="41" t="s">
        <v>1076</v>
      </c>
      <c r="H214" s="41" t="s">
        <v>1080</v>
      </c>
      <c r="I214" s="41" t="s">
        <v>1082</v>
      </c>
      <c r="K214" s="41" t="s">
        <v>1084</v>
      </c>
      <c r="L214" s="41" t="s">
        <v>1086</v>
      </c>
      <c r="M214" s="41" t="s">
        <v>1088</v>
      </c>
      <c r="N214" s="41" t="s">
        <v>1077</v>
      </c>
      <c r="O214" s="41" t="s">
        <v>1090</v>
      </c>
      <c r="P214" s="41" t="s">
        <v>1092</v>
      </c>
      <c r="Q214" s="41" t="s">
        <v>1094</v>
      </c>
      <c r="R214" s="41" t="s">
        <v>1096</v>
      </c>
      <c r="S214" s="41" t="s">
        <v>1098</v>
      </c>
      <c r="T214" s="41" t="s">
        <v>1100</v>
      </c>
      <c r="U214" s="41" t="s">
        <v>1102</v>
      </c>
      <c r="V214" s="41" t="s">
        <v>1078</v>
      </c>
    </row>
    <row r="215" spans="1:22" x14ac:dyDescent="0.25">
      <c r="A215" s="41" t="s">
        <v>45</v>
      </c>
      <c r="B215" s="41" t="s">
        <v>712</v>
      </c>
      <c r="F215" s="41" t="s">
        <v>713</v>
      </c>
      <c r="H215" s="41" t="s">
        <v>179</v>
      </c>
      <c r="I215" s="41" t="s">
        <v>723</v>
      </c>
      <c r="K215" s="41" t="s">
        <v>725</v>
      </c>
      <c r="L215" s="41" t="s">
        <v>727</v>
      </c>
      <c r="M215" s="41" t="s">
        <v>729</v>
      </c>
      <c r="N215" s="41" t="s">
        <v>714</v>
      </c>
      <c r="O215" s="41" t="s">
        <v>731</v>
      </c>
      <c r="P215" s="41" t="s">
        <v>733</v>
      </c>
      <c r="Q215" s="41" t="s">
        <v>735</v>
      </c>
      <c r="R215" s="41" t="s">
        <v>737</v>
      </c>
      <c r="S215" s="41" t="s">
        <v>739</v>
      </c>
      <c r="T215" s="41" t="s">
        <v>741</v>
      </c>
      <c r="U215" s="41" t="s">
        <v>743</v>
      </c>
      <c r="V215" s="41" t="s">
        <v>715</v>
      </c>
    </row>
    <row r="216" spans="1:22" x14ac:dyDescent="0.25">
      <c r="A216" s="41" t="s">
        <v>45</v>
      </c>
      <c r="B216" s="41" t="s">
        <v>716</v>
      </c>
      <c r="F216" s="41" t="s">
        <v>717</v>
      </c>
      <c r="H216" s="41" t="s">
        <v>907</v>
      </c>
      <c r="I216" s="41" t="s">
        <v>724</v>
      </c>
      <c r="K216" s="41" t="s">
        <v>726</v>
      </c>
      <c r="L216" s="41" t="s">
        <v>728</v>
      </c>
      <c r="M216" s="41" t="s">
        <v>730</v>
      </c>
      <c r="N216" s="41" t="s">
        <v>718</v>
      </c>
      <c r="O216" s="41" t="s">
        <v>732</v>
      </c>
      <c r="P216" s="41" t="s">
        <v>734</v>
      </c>
      <c r="Q216" s="41" t="s">
        <v>736</v>
      </c>
      <c r="R216" s="41" t="s">
        <v>738</v>
      </c>
      <c r="S216" s="41" t="s">
        <v>740</v>
      </c>
      <c r="T216" s="41" t="s">
        <v>742</v>
      </c>
      <c r="U216" s="41" t="s">
        <v>744</v>
      </c>
      <c r="V216" s="41" t="s">
        <v>719</v>
      </c>
    </row>
    <row r="217" spans="1:22" x14ac:dyDescent="0.25">
      <c r="A217" s="41" t="s">
        <v>45</v>
      </c>
      <c r="B217" s="41" t="s">
        <v>1967</v>
      </c>
      <c r="F217" s="41" t="s">
        <v>1968</v>
      </c>
      <c r="H217" s="41" t="s">
        <v>577</v>
      </c>
      <c r="I217" s="41" t="s">
        <v>1987</v>
      </c>
      <c r="K217" s="41" t="s">
        <v>1989</v>
      </c>
      <c r="L217" s="41" t="s">
        <v>1991</v>
      </c>
      <c r="M217" s="41" t="s">
        <v>1993</v>
      </c>
      <c r="N217" s="41" t="s">
        <v>1969</v>
      </c>
      <c r="O217" s="41" t="s">
        <v>1995</v>
      </c>
      <c r="P217" s="41" t="s">
        <v>1997</v>
      </c>
      <c r="Q217" s="41" t="s">
        <v>1999</v>
      </c>
      <c r="R217" s="41" t="s">
        <v>2001</v>
      </c>
      <c r="S217" s="41" t="s">
        <v>2003</v>
      </c>
      <c r="T217" s="41" t="s">
        <v>2005</v>
      </c>
      <c r="U217" s="41" t="s">
        <v>2007</v>
      </c>
      <c r="V217" s="41" t="s">
        <v>1970</v>
      </c>
    </row>
    <row r="218" spans="1:22" x14ac:dyDescent="0.25">
      <c r="A218" s="41" t="s">
        <v>45</v>
      </c>
      <c r="B218" s="41" t="s">
        <v>1971</v>
      </c>
      <c r="F218" s="41" t="s">
        <v>1972</v>
      </c>
      <c r="H218" s="41" t="s">
        <v>406</v>
      </c>
      <c r="I218" s="41" t="s">
        <v>1988</v>
      </c>
      <c r="K218" s="41" t="s">
        <v>1990</v>
      </c>
      <c r="L218" s="41" t="s">
        <v>1992</v>
      </c>
      <c r="M218" s="41" t="s">
        <v>1994</v>
      </c>
      <c r="N218" s="41" t="s">
        <v>1973</v>
      </c>
      <c r="O218" s="41" t="s">
        <v>1996</v>
      </c>
      <c r="P218" s="41" t="s">
        <v>1998</v>
      </c>
      <c r="Q218" s="41" t="s">
        <v>2000</v>
      </c>
      <c r="R218" s="41" t="s">
        <v>2002</v>
      </c>
      <c r="S218" s="41" t="s">
        <v>2004</v>
      </c>
      <c r="T218" s="41" t="s">
        <v>2006</v>
      </c>
      <c r="U218" s="41" t="s">
        <v>2008</v>
      </c>
      <c r="V218" s="41" t="s">
        <v>1974</v>
      </c>
    </row>
    <row r="219" spans="1:22" x14ac:dyDescent="0.25">
      <c r="A219" s="41" t="s">
        <v>45</v>
      </c>
      <c r="B219" s="41" t="s">
        <v>1775</v>
      </c>
      <c r="F219" s="41" t="s">
        <v>1776</v>
      </c>
      <c r="H219" s="41" t="s">
        <v>407</v>
      </c>
      <c r="I219" s="41" t="s">
        <v>1779</v>
      </c>
      <c r="K219" s="41" t="s">
        <v>1780</v>
      </c>
      <c r="L219" s="41" t="s">
        <v>1781</v>
      </c>
      <c r="M219" s="41" t="s">
        <v>1782</v>
      </c>
      <c r="N219" s="41" t="s">
        <v>1777</v>
      </c>
      <c r="O219" s="41" t="s">
        <v>1783</v>
      </c>
      <c r="P219" s="41" t="s">
        <v>1784</v>
      </c>
      <c r="Q219" s="41" t="s">
        <v>1785</v>
      </c>
      <c r="R219" s="41" t="s">
        <v>1786</v>
      </c>
      <c r="S219" s="41" t="s">
        <v>1787</v>
      </c>
      <c r="T219" s="41" t="s">
        <v>1788</v>
      </c>
      <c r="U219" s="41" t="s">
        <v>1789</v>
      </c>
      <c r="V219" s="41" t="s">
        <v>1778</v>
      </c>
    </row>
    <row r="220" spans="1:22" x14ac:dyDescent="0.25">
      <c r="A220" s="41" t="s">
        <v>45</v>
      </c>
    </row>
    <row r="221" spans="1:22" x14ac:dyDescent="0.25">
      <c r="A221" s="41" t="s">
        <v>45</v>
      </c>
      <c r="F221" s="41" t="s">
        <v>2401</v>
      </c>
      <c r="G221" s="41" t="s">
        <v>1203</v>
      </c>
      <c r="J221" s="41" t="s">
        <v>2402</v>
      </c>
    </row>
    <row r="222" spans="1:22" x14ac:dyDescent="0.25">
      <c r="A222" s="41" t="s">
        <v>45</v>
      </c>
      <c r="B222" s="41" t="s">
        <v>1657</v>
      </c>
      <c r="F222" s="41" t="s">
        <v>1658</v>
      </c>
      <c r="H222" s="41" t="s">
        <v>2403</v>
      </c>
      <c r="I222" s="41" t="s">
        <v>1661</v>
      </c>
      <c r="K222" s="41" t="s">
        <v>1662</v>
      </c>
      <c r="L222" s="41" t="s">
        <v>1663</v>
      </c>
      <c r="M222" s="41" t="s">
        <v>1664</v>
      </c>
      <c r="N222" s="41" t="s">
        <v>1659</v>
      </c>
      <c r="O222" s="41" t="s">
        <v>1665</v>
      </c>
      <c r="P222" s="41" t="s">
        <v>1666</v>
      </c>
      <c r="Q222" s="41" t="s">
        <v>1667</v>
      </c>
      <c r="R222" s="41" t="s">
        <v>1668</v>
      </c>
      <c r="S222" s="41" t="s">
        <v>1669</v>
      </c>
      <c r="T222" s="41" t="s">
        <v>1670</v>
      </c>
      <c r="U222" s="41" t="s">
        <v>1671</v>
      </c>
      <c r="V222" s="41" t="s">
        <v>1660</v>
      </c>
    </row>
    <row r="223" spans="1:22" x14ac:dyDescent="0.25">
      <c r="A223" s="41" t="s">
        <v>45</v>
      </c>
      <c r="B223" s="41" t="s">
        <v>903</v>
      </c>
      <c r="F223" s="41" t="s">
        <v>904</v>
      </c>
      <c r="H223" s="41" t="s">
        <v>1975</v>
      </c>
      <c r="I223" s="41" t="s">
        <v>908</v>
      </c>
      <c r="K223" s="41" t="s">
        <v>909</v>
      </c>
      <c r="L223" s="41" t="s">
        <v>910</v>
      </c>
      <c r="M223" s="41" t="s">
        <v>911</v>
      </c>
      <c r="N223" s="41" t="s">
        <v>905</v>
      </c>
      <c r="O223" s="41" t="s">
        <v>912</v>
      </c>
      <c r="P223" s="41" t="s">
        <v>913</v>
      </c>
      <c r="Q223" s="41" t="s">
        <v>914</v>
      </c>
      <c r="R223" s="41" t="s">
        <v>915</v>
      </c>
      <c r="S223" s="41" t="s">
        <v>916</v>
      </c>
      <c r="T223" s="41" t="s">
        <v>917</v>
      </c>
      <c r="U223" s="41" t="s">
        <v>918</v>
      </c>
      <c r="V223" s="41" t="s">
        <v>906</v>
      </c>
    </row>
    <row r="224" spans="1:22" x14ac:dyDescent="0.25">
      <c r="A224" s="41" t="s">
        <v>45</v>
      </c>
    </row>
    <row r="225" spans="1:22" x14ac:dyDescent="0.25">
      <c r="A225" s="41" t="s">
        <v>45</v>
      </c>
      <c r="F225" s="41" t="s">
        <v>2404</v>
      </c>
      <c r="G225" s="41" t="s">
        <v>130</v>
      </c>
      <c r="J225" s="41" t="s">
        <v>2405</v>
      </c>
    </row>
    <row r="226" spans="1:22" x14ac:dyDescent="0.25">
      <c r="A226" s="41" t="s">
        <v>45</v>
      </c>
      <c r="B226" s="41" t="s">
        <v>2406</v>
      </c>
      <c r="F226" s="41" t="s">
        <v>2407</v>
      </c>
      <c r="H226" s="41" t="s">
        <v>2408</v>
      </c>
      <c r="I226" s="41" t="s">
        <v>2409</v>
      </c>
      <c r="K226" s="41" t="s">
        <v>2410</v>
      </c>
      <c r="L226" s="41" t="s">
        <v>2411</v>
      </c>
      <c r="M226" s="41" t="s">
        <v>2412</v>
      </c>
      <c r="N226" s="41" t="s">
        <v>2413</v>
      </c>
      <c r="O226" s="41" t="s">
        <v>2414</v>
      </c>
      <c r="P226" s="41" t="s">
        <v>2415</v>
      </c>
      <c r="Q226" s="41" t="s">
        <v>2416</v>
      </c>
      <c r="R226" s="41" t="s">
        <v>2417</v>
      </c>
      <c r="S226" s="41" t="s">
        <v>2418</v>
      </c>
      <c r="T226" s="41" t="s">
        <v>2419</v>
      </c>
      <c r="U226" s="41" t="s">
        <v>2420</v>
      </c>
      <c r="V226" s="41" t="s">
        <v>2421</v>
      </c>
    </row>
    <row r="227" spans="1:22" x14ac:dyDescent="0.25">
      <c r="A227" s="4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Feeding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danwilson</dc:creator>
  <cp:lastModifiedBy>Travis Murphy</cp:lastModifiedBy>
  <cp:lastPrinted>2021-09-15T19:11:23Z</cp:lastPrinted>
  <dcterms:created xsi:type="dcterms:W3CDTF">2017-03-20T16:06:41Z</dcterms:created>
  <dcterms:modified xsi:type="dcterms:W3CDTF">2021-10-14T19:43:43Z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	1033</vt:lpwstr>
  </property>
</Properties>
</file>